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C:\Users\jgaines\Center for Global Development\Center For Global Development - Communications\Publications\Policy_Papers\2019\PP140-Mitchell-Baker\"/>
    </mc:Choice>
  </mc:AlternateContent>
  <xr:revisionPtr revIDLastSave="0" documentId="13_ncr:1_{09691177-1C82-4B48-A605-4BEE05AF7B3B}" xr6:coauthVersionLast="41" xr6:coauthVersionMax="41" xr10:uidLastSave="{00000000-0000-0000-0000-000000000000}"/>
  <bookViews>
    <workbookView xWindow="6750" yWindow="2475" windowWidth="19230" windowHeight="10905" tabRatio="825" xr2:uid="{00000000-000D-0000-FFFF-FFFF00000000}"/>
  </bookViews>
  <sheets>
    <sheet name="Reviews" sheetId="7" r:id="rId1"/>
    <sheet name="Reviews (by dept)" sheetId="8" r:id="rId2"/>
    <sheet name="Reviews (cssf)" sheetId="41" r:id="rId3"/>
    <sheet name="Annex 2" sheetId="12" r:id="rId4"/>
    <sheet name="Annex 3" sheetId="38" r:id="rId5"/>
    <sheet name="Tab1" sheetId="11" r:id="rId6"/>
    <sheet name="Tab2" sheetId="36" r:id="rId7"/>
    <sheet name="Tab3" sheetId="34" r:id="rId8"/>
    <sheet name="Fig2" sheetId="32" r:id="rId9"/>
    <sheet name="Fig3" sheetId="33" r:id="rId10"/>
    <sheet name="Fig4" sheetId="26" r:id="rId11"/>
    <sheet name="Fig5" sheetId="37" r:id="rId12"/>
    <sheet name="Fig6" sheetId="39" r:id="rId13"/>
    <sheet name="SID" sheetId="28" r:id="rId14"/>
    <sheet name="SID totals" sheetId="44" r:id="rId15"/>
    <sheet name="SID raw cssf" sheetId="42" state="hidden" r:id="rId16"/>
    <sheet name="SID raw PF" sheetId="43" state="hidden" r:id="rId17"/>
    <sheet name="SID raw" sheetId="17" state="hidden" r:id="rId18"/>
    <sheet name="CSSF somalia" sheetId="15" state="hidden" r:id="rId19"/>
    <sheet name="ICF sample" sheetId="22" state="hidden" r:id="rId2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28" l="1"/>
  <c r="D11" i="44" l="1"/>
  <c r="F2" i="7"/>
  <c r="F3" i="7"/>
  <c r="F5" i="7"/>
  <c r="F6" i="7"/>
  <c r="F7" i="7"/>
  <c r="F8" i="7"/>
  <c r="F9" i="7"/>
  <c r="F10" i="7"/>
  <c r="F15" i="7"/>
  <c r="F16" i="7"/>
  <c r="F17" i="7"/>
  <c r="F22" i="7"/>
  <c r="F23" i="7"/>
  <c r="F24" i="7"/>
  <c r="F26" i="7"/>
  <c r="F27" i="7"/>
  <c r="F29" i="7"/>
  <c r="F30" i="7"/>
  <c r="F31" i="7"/>
  <c r="F33" i="7"/>
  <c r="F34" i="7"/>
  <c r="F35" i="7"/>
  <c r="F37" i="7"/>
  <c r="F39" i="7"/>
  <c r="F40" i="7"/>
  <c r="F41" i="7"/>
  <c r="F42" i="7"/>
  <c r="F45" i="7"/>
  <c r="F46" i="7"/>
  <c r="F50" i="7"/>
  <c r="F51" i="7"/>
  <c r="F52" i="7"/>
  <c r="F53" i="7"/>
  <c r="F57" i="7"/>
  <c r="F62" i="7"/>
  <c r="F65" i="7"/>
  <c r="F66" i="7"/>
  <c r="E2" i="7"/>
  <c r="F2" i="26"/>
  <c r="E2" i="26"/>
  <c r="B4" i="12"/>
  <c r="B13" i="12"/>
  <c r="B13" i="38" s="1"/>
  <c r="B29" i="38" s="1"/>
  <c r="B16" i="34"/>
  <c r="E3" i="7"/>
  <c r="E6" i="7"/>
  <c r="E10" i="7"/>
  <c r="E11" i="7"/>
  <c r="E13" i="7"/>
  <c r="E15" i="7"/>
  <c r="E18" i="7"/>
  <c r="E20" i="7"/>
  <c r="E21" i="7"/>
  <c r="E26" i="7"/>
  <c r="E27" i="7"/>
  <c r="E29" i="7"/>
  <c r="E31" i="7"/>
  <c r="E34" i="7"/>
  <c r="E36" i="7"/>
  <c r="E37" i="7"/>
  <c r="E39" i="7"/>
  <c r="E47" i="7"/>
  <c r="E48" i="7"/>
  <c r="E52" i="7"/>
  <c r="E53" i="7"/>
  <c r="E57" i="7"/>
  <c r="E62" i="7"/>
  <c r="B4" i="38" l="1"/>
  <c r="B20" i="38" s="1"/>
  <c r="C2" i="36"/>
  <c r="B19" i="12"/>
  <c r="N18" i="38"/>
  <c r="P18" i="38"/>
  <c r="L18" i="38"/>
  <c r="I2" i="8" l="1"/>
  <c r="E66" i="7" s="1"/>
  <c r="D5" i="44" l="1"/>
  <c r="D6" i="44"/>
  <c r="D7" i="44"/>
  <c r="D8" i="44"/>
  <c r="D9" i="44"/>
  <c r="D10" i="44"/>
  <c r="D4" i="44"/>
  <c r="H9" i="26" l="1"/>
  <c r="G9" i="26"/>
  <c r="F9" i="26"/>
  <c r="E9" i="26"/>
  <c r="H8" i="26"/>
  <c r="G8" i="26"/>
  <c r="F8" i="26"/>
  <c r="E8" i="26"/>
  <c r="H7" i="26"/>
  <c r="G7" i="26"/>
  <c r="F7" i="26"/>
  <c r="E7" i="26"/>
  <c r="H6" i="26"/>
  <c r="G6" i="26"/>
  <c r="F6" i="26"/>
  <c r="E6" i="26"/>
  <c r="H5" i="26"/>
  <c r="G5" i="26"/>
  <c r="F5" i="26"/>
  <c r="E5" i="26"/>
  <c r="H4" i="26"/>
  <c r="G4" i="26"/>
  <c r="F4" i="26"/>
  <c r="E4" i="26"/>
  <c r="H3" i="26"/>
  <c r="G3" i="26"/>
  <c r="F3" i="26"/>
  <c r="E3" i="26"/>
  <c r="H2" i="26"/>
  <c r="G2" i="26"/>
  <c r="B1" i="36"/>
  <c r="J5" i="28"/>
  <c r="J6" i="28"/>
  <c r="J9" i="33" s="1"/>
  <c r="J7" i="28"/>
  <c r="AB9" i="33" s="1"/>
  <c r="J10" i="28"/>
  <c r="J11" i="28"/>
  <c r="J12" i="28"/>
  <c r="J13" i="28"/>
  <c r="J14" i="28"/>
  <c r="S9" i="33" s="1"/>
  <c r="J15" i="28"/>
  <c r="J16" i="28"/>
  <c r="B12" i="44"/>
  <c r="D2" i="26" l="1"/>
  <c r="Y9" i="32"/>
  <c r="D12" i="44"/>
  <c r="S9" i="32"/>
  <c r="P9" i="32"/>
  <c r="M9" i="32"/>
  <c r="J9" i="32"/>
  <c r="G9" i="32"/>
  <c r="D9" i="32"/>
  <c r="D2" i="15" l="1"/>
  <c r="B7" i="15" s="1"/>
  <c r="H3" i="28" l="1"/>
  <c r="I24" i="28"/>
  <c r="I3" i="28" s="1"/>
  <c r="I25" i="28"/>
  <c r="I17" i="28" s="1"/>
  <c r="I26" i="28"/>
  <c r="I18" i="28" s="1"/>
  <c r="I27" i="28"/>
  <c r="I9" i="28" s="1"/>
  <c r="I23" i="28"/>
  <c r="I8" i="28" s="1"/>
  <c r="H24" i="28"/>
  <c r="H25" i="28"/>
  <c r="H17" i="28" s="1"/>
  <c r="H26" i="28"/>
  <c r="H18" i="28" s="1"/>
  <c r="H27" i="28"/>
  <c r="H9" i="28" s="1"/>
  <c r="H23" i="28"/>
  <c r="H8" i="28" s="1"/>
  <c r="G25" i="28"/>
  <c r="G17" i="28" s="1"/>
  <c r="J17" i="28" s="1"/>
  <c r="Y9" i="33" s="1"/>
  <c r="G26" i="28"/>
  <c r="G18" i="28" s="1"/>
  <c r="G27" i="28"/>
  <c r="G9" i="28" s="1"/>
  <c r="G24" i="28"/>
  <c r="G3" i="28" s="1"/>
  <c r="G23" i="28"/>
  <c r="G8" i="28" s="1"/>
  <c r="F26" i="28"/>
  <c r="F18" i="28" s="1"/>
  <c r="F24" i="28"/>
  <c r="F3" i="28" s="1"/>
  <c r="F23" i="28"/>
  <c r="F8" i="28" s="1"/>
  <c r="E26" i="28"/>
  <c r="E18" i="28" s="1"/>
  <c r="E24" i="28"/>
  <c r="E3" i="28" s="1"/>
  <c r="E23" i="28"/>
  <c r="E8" i="28" s="1"/>
  <c r="D26" i="28"/>
  <c r="D24" i="28"/>
  <c r="D3" i="28" s="1"/>
  <c r="D23" i="28"/>
  <c r="D8" i="28" s="1"/>
  <c r="A24" i="28"/>
  <c r="A25" i="28"/>
  <c r="A26" i="28"/>
  <c r="A27" i="28"/>
  <c r="A23" i="28"/>
  <c r="D6" i="12"/>
  <c r="J18" i="28" l="1"/>
  <c r="V9" i="33" s="1"/>
  <c r="J3" i="28"/>
  <c r="J8" i="28"/>
  <c r="G9" i="33" s="1"/>
  <c r="J9" i="28"/>
  <c r="P9" i="33" s="1"/>
  <c r="E6" i="12"/>
  <c r="C6" i="38"/>
  <c r="I7" i="26"/>
  <c r="I5" i="26"/>
  <c r="D5" i="26" s="1"/>
  <c r="I3" i="26"/>
  <c r="D3" i="26" s="1"/>
  <c r="A5" i="41"/>
  <c r="A4" i="41"/>
  <c r="B3" i="41"/>
  <c r="A3" i="41"/>
  <c r="C15" i="34"/>
  <c r="D15" i="34"/>
  <c r="E15" i="34"/>
  <c r="F15" i="34"/>
  <c r="G15" i="34"/>
  <c r="C16" i="34"/>
  <c r="D16" i="34"/>
  <c r="E16" i="34"/>
  <c r="F16" i="34"/>
  <c r="G16" i="34"/>
  <c r="C17" i="34"/>
  <c r="D17" i="34"/>
  <c r="E17" i="34"/>
  <c r="F17" i="34"/>
  <c r="G17" i="34"/>
  <c r="C18" i="34"/>
  <c r="D18" i="34"/>
  <c r="E18" i="34"/>
  <c r="F18" i="34"/>
  <c r="G18" i="34"/>
  <c r="B17" i="34"/>
  <c r="B18" i="34"/>
  <c r="B15" i="34"/>
  <c r="C5" i="34"/>
  <c r="D5" i="34"/>
  <c r="E5" i="34"/>
  <c r="F5" i="34"/>
  <c r="G5" i="34"/>
  <c r="E6" i="34"/>
  <c r="G6" i="34"/>
  <c r="D7" i="34"/>
  <c r="E7" i="34"/>
  <c r="F7" i="34"/>
  <c r="G7" i="34"/>
  <c r="C8" i="34"/>
  <c r="D8" i="34"/>
  <c r="E8" i="34"/>
  <c r="F8" i="34"/>
  <c r="G8" i="34"/>
  <c r="B8" i="34"/>
  <c r="B5" i="34"/>
  <c r="D4" i="12" l="1"/>
  <c r="C4" i="38" s="1"/>
  <c r="D9" i="33"/>
  <c r="K3" i="28"/>
  <c r="E14" i="34"/>
  <c r="G14" i="34"/>
  <c r="F14" i="34"/>
  <c r="D14" i="34"/>
  <c r="C14" i="34"/>
  <c r="B14" i="34"/>
  <c r="D4" i="26"/>
  <c r="B4" i="26" s="1"/>
  <c r="D6" i="26"/>
  <c r="B2" i="26"/>
  <c r="D8" i="26"/>
  <c r="M54" i="22"/>
  <c r="L54" i="22"/>
  <c r="K54" i="22"/>
  <c r="M52" i="22"/>
  <c r="L52" i="22"/>
  <c r="K52" i="22"/>
  <c r="M49" i="22"/>
  <c r="L49" i="22"/>
  <c r="K49" i="22"/>
  <c r="M46" i="22"/>
  <c r="L46" i="22"/>
  <c r="K46" i="22"/>
  <c r="M44" i="22"/>
  <c r="L44" i="22"/>
  <c r="K44" i="22"/>
  <c r="M42" i="22"/>
  <c r="L42" i="22"/>
  <c r="K42" i="22"/>
  <c r="M39" i="22"/>
  <c r="L39" i="22"/>
  <c r="K39" i="22"/>
  <c r="M35" i="22"/>
  <c r="L35" i="22"/>
  <c r="K35" i="22"/>
  <c r="M32" i="22"/>
  <c r="L32" i="22"/>
  <c r="K32" i="22"/>
  <c r="M29" i="22"/>
  <c r="L29" i="22"/>
  <c r="K29" i="22"/>
  <c r="M26" i="22"/>
  <c r="L26" i="22"/>
  <c r="K26" i="22"/>
  <c r="M23" i="22"/>
  <c r="L23" i="22"/>
  <c r="K23" i="22"/>
  <c r="M20" i="22"/>
  <c r="L20" i="22"/>
  <c r="K20" i="22"/>
  <c r="M18" i="22"/>
  <c r="L18" i="22"/>
  <c r="K18" i="22"/>
  <c r="M15" i="22"/>
  <c r="L15" i="22"/>
  <c r="K15" i="22"/>
  <c r="M13" i="22"/>
  <c r="L13" i="22"/>
  <c r="K13" i="22"/>
  <c r="B9" i="15"/>
  <c r="B8" i="15"/>
  <c r="D4" i="15"/>
  <c r="D3" i="15"/>
  <c r="D11" i="12"/>
  <c r="C11" i="38" s="1"/>
  <c r="C27" i="38" s="1"/>
  <c r="D12" i="12"/>
  <c r="C12" i="38" s="1"/>
  <c r="D10" i="12"/>
  <c r="C10" i="38" s="1"/>
  <c r="C26" i="38" s="1"/>
  <c r="D8" i="12"/>
  <c r="C8" i="38" s="1"/>
  <c r="C24" i="38" s="1"/>
  <c r="D7" i="12"/>
  <c r="C7" i="38" s="1"/>
  <c r="E26" i="38"/>
  <c r="E25" i="38"/>
  <c r="C23" i="38"/>
  <c r="E22" i="38"/>
  <c r="C22" i="38"/>
  <c r="C20" i="38"/>
  <c r="J18" i="38"/>
  <c r="H18" i="38"/>
  <c r="D18" i="38"/>
  <c r="C18" i="38"/>
  <c r="B18" i="38"/>
  <c r="K12" i="38"/>
  <c r="P28" i="38" s="1"/>
  <c r="J12" i="38"/>
  <c r="N28" i="38" s="1"/>
  <c r="H12" i="38"/>
  <c r="J28" i="38" s="1"/>
  <c r="G12" i="38"/>
  <c r="H28" i="38" s="1"/>
  <c r="C28" i="38"/>
  <c r="K11" i="38"/>
  <c r="P27" i="38" s="1"/>
  <c r="J11" i="38"/>
  <c r="N27" i="38" s="1"/>
  <c r="H11" i="38"/>
  <c r="J27" i="38" s="1"/>
  <c r="G11" i="38"/>
  <c r="H27" i="38" s="1"/>
  <c r="K10" i="38"/>
  <c r="P26" i="38" s="1"/>
  <c r="J10" i="38"/>
  <c r="N26" i="38" s="1"/>
  <c r="O26" i="38" s="1"/>
  <c r="I10" i="38"/>
  <c r="L26" i="38" s="1"/>
  <c r="M26" i="38" s="1"/>
  <c r="H10" i="38"/>
  <c r="J26" i="38" s="1"/>
  <c r="G10" i="38"/>
  <c r="H26" i="38" s="1"/>
  <c r="E10" i="38"/>
  <c r="D26" i="38" s="1"/>
  <c r="K9" i="38"/>
  <c r="P25" i="38" s="1"/>
  <c r="J9" i="38"/>
  <c r="N25" i="38" s="1"/>
  <c r="O25" i="38" s="1"/>
  <c r="I9" i="38"/>
  <c r="L25" i="38" s="1"/>
  <c r="M25" i="38" s="1"/>
  <c r="H9" i="38"/>
  <c r="J25" i="38" s="1"/>
  <c r="G9" i="38"/>
  <c r="H25" i="38" s="1"/>
  <c r="E9" i="38"/>
  <c r="D25" i="38" s="1"/>
  <c r="K8" i="38"/>
  <c r="P24" i="38" s="1"/>
  <c r="J8" i="38"/>
  <c r="N24" i="38" s="1"/>
  <c r="H8" i="38"/>
  <c r="G8" i="38"/>
  <c r="K7" i="38"/>
  <c r="P23" i="38" s="1"/>
  <c r="J7" i="38"/>
  <c r="N23" i="38" s="1"/>
  <c r="I7" i="38"/>
  <c r="L23" i="38" s="1"/>
  <c r="G7" i="38"/>
  <c r="K6" i="38"/>
  <c r="P22" i="38" s="1"/>
  <c r="J6" i="38"/>
  <c r="N22" i="38" s="1"/>
  <c r="I6" i="38"/>
  <c r="L22" i="38" s="1"/>
  <c r="H6" i="38"/>
  <c r="G6" i="38"/>
  <c r="E6" i="38"/>
  <c r="D22" i="38" s="1"/>
  <c r="K5" i="38"/>
  <c r="P21" i="38" s="1"/>
  <c r="J5" i="38"/>
  <c r="N21" i="38" s="1"/>
  <c r="G5" i="38"/>
  <c r="J4" i="38"/>
  <c r="B28" i="12"/>
  <c r="E23" i="12"/>
  <c r="E21" i="12"/>
  <c r="C21" i="12"/>
  <c r="O17" i="12"/>
  <c r="M17" i="12"/>
  <c r="K17" i="12"/>
  <c r="I17" i="12"/>
  <c r="G17" i="12"/>
  <c r="D17" i="12"/>
  <c r="C17" i="12"/>
  <c r="B17" i="12"/>
  <c r="J13" i="12"/>
  <c r="M28" i="12" s="1"/>
  <c r="C13" i="12"/>
  <c r="K12" i="12"/>
  <c r="J12" i="12"/>
  <c r="M27" i="12" s="1"/>
  <c r="H12" i="12"/>
  <c r="G12" i="12"/>
  <c r="G27" i="12" s="1"/>
  <c r="C12" i="12"/>
  <c r="B12" i="12"/>
  <c r="K11" i="12"/>
  <c r="J11" i="12"/>
  <c r="H11" i="12"/>
  <c r="G11" i="12"/>
  <c r="G26" i="12" s="1"/>
  <c r="C11" i="12"/>
  <c r="B11" i="12"/>
  <c r="B11" i="38" s="1"/>
  <c r="B27" i="38" s="1"/>
  <c r="K10" i="12"/>
  <c r="J10" i="12"/>
  <c r="M25" i="12" s="1"/>
  <c r="I10" i="12"/>
  <c r="K25" i="12" s="1"/>
  <c r="G10" i="12"/>
  <c r="C10" i="12"/>
  <c r="B10" i="12"/>
  <c r="B10" i="38" s="1"/>
  <c r="K9" i="12"/>
  <c r="O24" i="12" s="1"/>
  <c r="J9" i="12"/>
  <c r="M24" i="12" s="1"/>
  <c r="I9" i="12"/>
  <c r="K24" i="12" s="1"/>
  <c r="G9" i="12"/>
  <c r="G24" i="12" s="1"/>
  <c r="C9" i="12"/>
  <c r="B9" i="12"/>
  <c r="K8" i="12"/>
  <c r="G9" i="37" s="1"/>
  <c r="J8" i="12"/>
  <c r="I8" i="12"/>
  <c r="H8" i="12"/>
  <c r="G8" i="12"/>
  <c r="F8" i="12"/>
  <c r="D23" i="12" s="1"/>
  <c r="C8" i="12"/>
  <c r="B8" i="12"/>
  <c r="B8" i="38" s="1"/>
  <c r="B24" i="38" s="1"/>
  <c r="K7" i="12"/>
  <c r="J7" i="12"/>
  <c r="M22" i="12" s="1"/>
  <c r="I7" i="12"/>
  <c r="G7" i="12"/>
  <c r="G22" i="12" s="1"/>
  <c r="C7" i="12"/>
  <c r="B7" i="12"/>
  <c r="K6" i="12"/>
  <c r="J6" i="12"/>
  <c r="I6" i="12"/>
  <c r="H6" i="12"/>
  <c r="G6" i="12"/>
  <c r="F6" i="12"/>
  <c r="D21" i="12" s="1"/>
  <c r="C6" i="12"/>
  <c r="B6" i="12"/>
  <c r="K5" i="12"/>
  <c r="O20" i="12" s="1"/>
  <c r="J5" i="12"/>
  <c r="I5" i="12"/>
  <c r="G5" i="12"/>
  <c r="C5" i="12"/>
  <c r="B5" i="12"/>
  <c r="J4" i="12"/>
  <c r="C4" i="12"/>
  <c r="I9" i="26"/>
  <c r="AA8" i="33"/>
  <c r="Z8" i="33"/>
  <c r="X8" i="33"/>
  <c r="W8" i="33"/>
  <c r="U8" i="33"/>
  <c r="T8" i="33"/>
  <c r="R8" i="33"/>
  <c r="Q8" i="33"/>
  <c r="O8" i="33"/>
  <c r="N8" i="33"/>
  <c r="L8" i="33"/>
  <c r="K8" i="33"/>
  <c r="I8" i="33"/>
  <c r="H8" i="33"/>
  <c r="F8" i="33"/>
  <c r="E8" i="33"/>
  <c r="AA7" i="33"/>
  <c r="Z7" i="33"/>
  <c r="X7" i="33"/>
  <c r="W7" i="33"/>
  <c r="U7" i="33"/>
  <c r="T7" i="33"/>
  <c r="R7" i="33"/>
  <c r="Q7" i="33"/>
  <c r="O7" i="33"/>
  <c r="N7" i="33"/>
  <c r="L7" i="33"/>
  <c r="K7" i="33"/>
  <c r="I7" i="33"/>
  <c r="H7" i="33"/>
  <c r="F7" i="33"/>
  <c r="E7" i="33"/>
  <c r="C7" i="33"/>
  <c r="B7" i="33"/>
  <c r="R6" i="33"/>
  <c r="Q6" i="33"/>
  <c r="N6" i="33"/>
  <c r="L6" i="33"/>
  <c r="K6" i="33"/>
  <c r="I6" i="33"/>
  <c r="H6" i="33"/>
  <c r="AA5" i="33"/>
  <c r="Z5" i="33"/>
  <c r="X5" i="33"/>
  <c r="W5" i="33"/>
  <c r="U5" i="33"/>
  <c r="T5" i="33"/>
  <c r="R5" i="33"/>
  <c r="O5" i="33"/>
  <c r="N5" i="33"/>
  <c r="I5" i="33"/>
  <c r="H5" i="33"/>
  <c r="AA4" i="33"/>
  <c r="Z4" i="33"/>
  <c r="X4" i="33"/>
  <c r="W4" i="33"/>
  <c r="U4" i="33"/>
  <c r="T4" i="33"/>
  <c r="R4" i="33"/>
  <c r="Q4" i="33"/>
  <c r="O4" i="33"/>
  <c r="N4" i="33"/>
  <c r="L4" i="33"/>
  <c r="K4" i="33"/>
  <c r="I4" i="33"/>
  <c r="H4" i="33"/>
  <c r="F4" i="33"/>
  <c r="E4" i="33"/>
  <c r="R8" i="32"/>
  <c r="Q8" i="32"/>
  <c r="O8" i="32"/>
  <c r="N8" i="32"/>
  <c r="L8" i="32"/>
  <c r="K8" i="32"/>
  <c r="I8" i="32"/>
  <c r="H8" i="32"/>
  <c r="F8" i="32"/>
  <c r="E8" i="32"/>
  <c r="C8" i="32"/>
  <c r="B8" i="32"/>
  <c r="X7" i="32"/>
  <c r="W7" i="32"/>
  <c r="U7" i="32"/>
  <c r="T7" i="32"/>
  <c r="R7" i="32"/>
  <c r="Q7" i="32"/>
  <c r="O7" i="32"/>
  <c r="N7" i="32"/>
  <c r="L7" i="32"/>
  <c r="K7" i="32"/>
  <c r="I7" i="32"/>
  <c r="H7" i="32"/>
  <c r="F7" i="32"/>
  <c r="E7" i="32"/>
  <c r="C7" i="32"/>
  <c r="B7" i="32"/>
  <c r="U6" i="32"/>
  <c r="T6" i="32"/>
  <c r="C6" i="32"/>
  <c r="B6" i="32"/>
  <c r="R5" i="32"/>
  <c r="O5" i="32"/>
  <c r="N5" i="32"/>
  <c r="X4" i="32"/>
  <c r="W4" i="32"/>
  <c r="U4" i="32"/>
  <c r="T4" i="32"/>
  <c r="Q4" i="32"/>
  <c r="O4" i="32"/>
  <c r="N4" i="32"/>
  <c r="K4" i="32"/>
  <c r="F4" i="32"/>
  <c r="E4" i="32"/>
  <c r="C4" i="32"/>
  <c r="B4" i="32"/>
  <c r="H8" i="34"/>
  <c r="H7" i="34"/>
  <c r="H5" i="34"/>
  <c r="A11" i="36"/>
  <c r="A10" i="36"/>
  <c r="A9" i="36"/>
  <c r="A8" i="36"/>
  <c r="A7" i="36"/>
  <c r="A6" i="36"/>
  <c r="B5" i="36"/>
  <c r="A5" i="36"/>
  <c r="B4" i="36"/>
  <c r="A3" i="36"/>
  <c r="A2" i="36"/>
  <c r="D1" i="36"/>
  <c r="C1" i="36"/>
  <c r="I79" i="8"/>
  <c r="E4" i="7" s="1"/>
  <c r="B10" i="32" s="1"/>
  <c r="G79" i="8"/>
  <c r="F4" i="7" s="1"/>
  <c r="I76" i="8"/>
  <c r="E17" i="7" s="1"/>
  <c r="I75" i="8"/>
  <c r="E16" i="7" s="1"/>
  <c r="I73" i="8"/>
  <c r="E14" i="7" s="1"/>
  <c r="G73" i="8"/>
  <c r="G72" i="8"/>
  <c r="F13" i="7" s="1"/>
  <c r="I71" i="8"/>
  <c r="I11" i="12" s="1"/>
  <c r="K26" i="12" s="1"/>
  <c r="G71" i="8"/>
  <c r="I70" i="8"/>
  <c r="G70" i="8"/>
  <c r="I69" i="8"/>
  <c r="Z6" i="33" s="1"/>
  <c r="G69" i="8"/>
  <c r="F12" i="7" s="1"/>
  <c r="G68" i="8"/>
  <c r="F11" i="7" s="1"/>
  <c r="I66" i="8"/>
  <c r="E9" i="7" s="1"/>
  <c r="I65" i="8"/>
  <c r="E8" i="7" s="1"/>
  <c r="I64" i="8"/>
  <c r="E7" i="7" s="1"/>
  <c r="I62" i="8"/>
  <c r="E5" i="7" s="1"/>
  <c r="I61" i="8"/>
  <c r="E30" i="7" s="1"/>
  <c r="I59" i="8"/>
  <c r="E28" i="7" s="1"/>
  <c r="G59" i="8"/>
  <c r="F28" i="7" s="1"/>
  <c r="I56" i="8"/>
  <c r="E25" i="7" s="1"/>
  <c r="G56" i="8"/>
  <c r="F25" i="7" s="1"/>
  <c r="I55" i="8"/>
  <c r="E24" i="7" s="1"/>
  <c r="I54" i="8"/>
  <c r="E23" i="7" s="1"/>
  <c r="I53" i="8"/>
  <c r="E22" i="7" s="1"/>
  <c r="G52" i="8"/>
  <c r="F21" i="7" s="1"/>
  <c r="G51" i="8"/>
  <c r="F20" i="7" s="1"/>
  <c r="I50" i="8"/>
  <c r="E19" i="7" s="1"/>
  <c r="G49" i="8"/>
  <c r="F18" i="7" s="1"/>
  <c r="I48" i="8"/>
  <c r="I47" i="8"/>
  <c r="H9" i="12" s="1"/>
  <c r="I24" i="12" s="1"/>
  <c r="I46" i="8"/>
  <c r="G46" i="8"/>
  <c r="G44" i="8"/>
  <c r="I43" i="8"/>
  <c r="E35" i="7" s="1"/>
  <c r="I41" i="8"/>
  <c r="E33" i="7" s="1"/>
  <c r="I40" i="8"/>
  <c r="E32" i="7" s="1"/>
  <c r="G40" i="8"/>
  <c r="I38" i="8"/>
  <c r="E43" i="7" s="1"/>
  <c r="G38" i="8"/>
  <c r="F43" i="7" s="1"/>
  <c r="I37" i="8"/>
  <c r="E42" i="7" s="1"/>
  <c r="I36" i="8"/>
  <c r="E41" i="7" s="1"/>
  <c r="I35" i="8"/>
  <c r="E40" i="7" s="1"/>
  <c r="N10" i="32" s="1"/>
  <c r="I33" i="8"/>
  <c r="E49" i="7" s="1"/>
  <c r="G32" i="8"/>
  <c r="F48" i="7" s="1"/>
  <c r="G31" i="8"/>
  <c r="F47" i="7" s="1"/>
  <c r="I30" i="8"/>
  <c r="E46" i="7" s="1"/>
  <c r="I29" i="8"/>
  <c r="E45" i="7" s="1"/>
  <c r="I28" i="8"/>
  <c r="E44" i="7" s="1"/>
  <c r="G28" i="8"/>
  <c r="F44" i="7" s="1"/>
  <c r="I27" i="8"/>
  <c r="C6" i="34" s="1"/>
  <c r="C9" i="34" s="1"/>
  <c r="G27" i="8"/>
  <c r="H5" i="38" s="1"/>
  <c r="I26" i="8"/>
  <c r="G26" i="8"/>
  <c r="I23" i="8"/>
  <c r="E55" i="7" s="1"/>
  <c r="G23" i="8"/>
  <c r="F55" i="7" s="1"/>
  <c r="I22" i="8"/>
  <c r="G22" i="8"/>
  <c r="F54" i="7" s="1"/>
  <c r="I18" i="8"/>
  <c r="E51" i="7" s="1"/>
  <c r="I17" i="8"/>
  <c r="E65" i="7" s="1"/>
  <c r="I16" i="8"/>
  <c r="Q5" i="33" s="1"/>
  <c r="I15" i="8"/>
  <c r="G15" i="8"/>
  <c r="F64" i="7" s="1"/>
  <c r="I14" i="8"/>
  <c r="I12" i="12" s="1"/>
  <c r="K27" i="12" s="1"/>
  <c r="G14" i="8"/>
  <c r="I12" i="38" s="1"/>
  <c r="L28" i="38" s="1"/>
  <c r="G13" i="8"/>
  <c r="G12" i="8"/>
  <c r="E8" i="38" s="1"/>
  <c r="D24" i="38" s="1"/>
  <c r="I11" i="8"/>
  <c r="C7" i="34" s="1"/>
  <c r="G11" i="8"/>
  <c r="I10" i="8"/>
  <c r="G10" i="8"/>
  <c r="I8" i="8"/>
  <c r="E61" i="7" s="1"/>
  <c r="G8" i="8"/>
  <c r="F61" i="7" s="1"/>
  <c r="I7" i="8"/>
  <c r="E60" i="7" s="1"/>
  <c r="G7" i="8"/>
  <c r="F60" i="7" s="1"/>
  <c r="I6" i="8"/>
  <c r="E59" i="7" s="1"/>
  <c r="G6" i="8"/>
  <c r="I5" i="8"/>
  <c r="E58" i="7" s="1"/>
  <c r="I3" i="8"/>
  <c r="A7" i="11"/>
  <c r="A6" i="11"/>
  <c r="C6" i="11" s="1"/>
  <c r="A5" i="11"/>
  <c r="F5" i="11" s="1"/>
  <c r="A4" i="11"/>
  <c r="A3" i="11"/>
  <c r="F9" i="12" l="1"/>
  <c r="D24" i="12" s="1"/>
  <c r="B6" i="38"/>
  <c r="B22" i="38" s="1"/>
  <c r="A6" i="37"/>
  <c r="G5" i="8"/>
  <c r="F58" i="7" s="1"/>
  <c r="I13" i="12"/>
  <c r="K28" i="12" s="1"/>
  <c r="B5" i="38"/>
  <c r="F4" i="12"/>
  <c r="E6" i="32"/>
  <c r="G50" i="8"/>
  <c r="F19" i="7" s="1"/>
  <c r="E26" i="12"/>
  <c r="L26" i="12" s="1"/>
  <c r="B9" i="38"/>
  <c r="F3" i="11"/>
  <c r="C8" i="33"/>
  <c r="F59" i="7"/>
  <c r="E56" i="7"/>
  <c r="L6" i="32"/>
  <c r="F32" i="7"/>
  <c r="H4" i="12"/>
  <c r="I19" i="12" s="1"/>
  <c r="E5" i="32"/>
  <c r="B4" i="33"/>
  <c r="E6" i="33"/>
  <c r="T6" i="33"/>
  <c r="E20" i="12"/>
  <c r="J13" i="38"/>
  <c r="N29" i="38" s="1"/>
  <c r="N20" i="38"/>
  <c r="H10" i="32"/>
  <c r="H6" i="32"/>
  <c r="E50" i="7"/>
  <c r="B6" i="34"/>
  <c r="E7" i="38"/>
  <c r="D23" i="38" s="1"/>
  <c r="F38" i="7"/>
  <c r="N6" i="32"/>
  <c r="B8" i="33"/>
  <c r="G33" i="8"/>
  <c r="F49" i="7" s="1"/>
  <c r="H5" i="32"/>
  <c r="W6" i="32"/>
  <c r="B5" i="33"/>
  <c r="W6" i="33"/>
  <c r="G4" i="12"/>
  <c r="H5" i="12"/>
  <c r="E5" i="37" s="1"/>
  <c r="Q25" i="38"/>
  <c r="F5" i="32"/>
  <c r="F14" i="7"/>
  <c r="E5" i="33"/>
  <c r="I4" i="12"/>
  <c r="C11" i="36"/>
  <c r="B12" i="38"/>
  <c r="Q22" i="38"/>
  <c r="G13" i="12"/>
  <c r="G28" i="12" s="1"/>
  <c r="Q24" i="38"/>
  <c r="E54" i="7"/>
  <c r="F6" i="34"/>
  <c r="F9" i="34" s="1"/>
  <c r="Q10" i="32"/>
  <c r="L4" i="32"/>
  <c r="F36" i="7"/>
  <c r="E12" i="7"/>
  <c r="B5" i="41"/>
  <c r="Q5" i="32"/>
  <c r="K6" i="32"/>
  <c r="K4" i="12"/>
  <c r="O19" i="12" s="1"/>
  <c r="F10" i="12"/>
  <c r="D9" i="36" s="1"/>
  <c r="F11" i="12"/>
  <c r="D26" i="12" s="1"/>
  <c r="F12" i="12"/>
  <c r="E25" i="12"/>
  <c r="N25" i="12" s="1"/>
  <c r="F63" i="7"/>
  <c r="E13" i="38"/>
  <c r="E38" i="7"/>
  <c r="K10" i="32" s="1"/>
  <c r="E10" i="32"/>
  <c r="H4" i="32"/>
  <c r="T5" i="32"/>
  <c r="Q6" i="32"/>
  <c r="T8" i="32"/>
  <c r="H10" i="12"/>
  <c r="I25" i="12" s="1"/>
  <c r="J25" i="12" s="1"/>
  <c r="K13" i="12"/>
  <c r="O28" i="12" s="1"/>
  <c r="E27" i="12"/>
  <c r="Q23" i="38"/>
  <c r="B22" i="12"/>
  <c r="B7" i="38"/>
  <c r="B23" i="38" s="1"/>
  <c r="E63" i="7"/>
  <c r="B7" i="34"/>
  <c r="B4" i="41"/>
  <c r="E64" i="7"/>
  <c r="W10" i="32" s="1"/>
  <c r="D6" i="34"/>
  <c r="F56" i="7"/>
  <c r="B5" i="32"/>
  <c r="W5" i="32"/>
  <c r="W8" i="32"/>
  <c r="B6" i="33"/>
  <c r="F5" i="12"/>
  <c r="D20" i="12" s="1"/>
  <c r="E19" i="12"/>
  <c r="Q26" i="38"/>
  <c r="C4" i="11"/>
  <c r="F4" i="11"/>
  <c r="E20" i="38"/>
  <c r="C6" i="33"/>
  <c r="C4" i="33"/>
  <c r="E21" i="38"/>
  <c r="O21" i="38" s="1"/>
  <c r="O6" i="32"/>
  <c r="E27" i="38"/>
  <c r="I27" i="38" s="1"/>
  <c r="U5" i="32"/>
  <c r="R6" i="32"/>
  <c r="I6" i="32"/>
  <c r="F6" i="32"/>
  <c r="R4" i="32"/>
  <c r="O6" i="33"/>
  <c r="C5" i="32"/>
  <c r="C5" i="33"/>
  <c r="I10" i="32"/>
  <c r="K4" i="38"/>
  <c r="I5" i="32"/>
  <c r="E5" i="38"/>
  <c r="D21" i="38" s="1"/>
  <c r="Q21" i="38" s="1"/>
  <c r="I8" i="38"/>
  <c r="F9" i="39" s="1"/>
  <c r="F5" i="33"/>
  <c r="A8" i="39"/>
  <c r="C6" i="37"/>
  <c r="X6" i="33"/>
  <c r="AA6" i="33"/>
  <c r="E11" i="38"/>
  <c r="D27" i="38" s="1"/>
  <c r="G27" i="38" s="1"/>
  <c r="E12" i="38"/>
  <c r="D28" i="38" s="1"/>
  <c r="Q28" i="38" s="1"/>
  <c r="E23" i="38"/>
  <c r="M23" i="38" s="1"/>
  <c r="E28" i="38"/>
  <c r="I28" i="38" s="1"/>
  <c r="B21" i="12"/>
  <c r="A6" i="39"/>
  <c r="J24" i="38"/>
  <c r="D9" i="39"/>
  <c r="I4" i="32"/>
  <c r="U8" i="32"/>
  <c r="C8" i="37"/>
  <c r="C9" i="37"/>
  <c r="H13" i="12"/>
  <c r="I28" i="12" s="1"/>
  <c r="E22" i="12"/>
  <c r="H22" i="12" s="1"/>
  <c r="H7" i="38"/>
  <c r="J23" i="38" s="1"/>
  <c r="D6" i="37"/>
  <c r="H7" i="12"/>
  <c r="I22" i="12" s="1"/>
  <c r="E4" i="38"/>
  <c r="D20" i="38" s="1"/>
  <c r="L5" i="32"/>
  <c r="X5" i="32"/>
  <c r="X6" i="32"/>
  <c r="X8" i="32"/>
  <c r="K5" i="33"/>
  <c r="E6" i="37"/>
  <c r="K23" i="12"/>
  <c r="E9" i="37"/>
  <c r="E8" i="37"/>
  <c r="L25" i="12"/>
  <c r="E24" i="12"/>
  <c r="N24" i="12" s="1"/>
  <c r="G4" i="38"/>
  <c r="K5" i="32"/>
  <c r="F6" i="33"/>
  <c r="D9" i="37"/>
  <c r="D8" i="37"/>
  <c r="L5" i="33"/>
  <c r="U6" i="33"/>
  <c r="F6" i="37"/>
  <c r="M23" i="12"/>
  <c r="F8" i="37"/>
  <c r="F9" i="37"/>
  <c r="H4" i="38"/>
  <c r="H13" i="38" s="1"/>
  <c r="J29" i="38" s="1"/>
  <c r="I5" i="38"/>
  <c r="E24" i="38"/>
  <c r="O24" i="38" s="1"/>
  <c r="I4" i="38"/>
  <c r="I11" i="38"/>
  <c r="L27" i="38" s="1"/>
  <c r="M27" i="38" s="1"/>
  <c r="B20" i="12"/>
  <c r="A4" i="39"/>
  <c r="F13" i="12"/>
  <c r="H24" i="38"/>
  <c r="C8" i="39"/>
  <c r="C9" i="39"/>
  <c r="F7" i="12"/>
  <c r="D22" i="12" s="1"/>
  <c r="E28" i="12"/>
  <c r="P28" i="12" s="1"/>
  <c r="G22" i="38"/>
  <c r="F6" i="39"/>
  <c r="G23" i="38"/>
  <c r="C25" i="12"/>
  <c r="E10" i="12"/>
  <c r="C26" i="12"/>
  <c r="F26" i="12" s="1"/>
  <c r="E11" i="12"/>
  <c r="B6" i="36"/>
  <c r="E7" i="12"/>
  <c r="C27" i="12"/>
  <c r="E12" i="12"/>
  <c r="C23" i="12"/>
  <c r="F23" i="12" s="1"/>
  <c r="E8" i="12"/>
  <c r="G24" i="38"/>
  <c r="C6" i="39"/>
  <c r="C7" i="39"/>
  <c r="D6" i="39"/>
  <c r="E6" i="39"/>
  <c r="D10" i="36"/>
  <c r="B7" i="36"/>
  <c r="C22" i="12"/>
  <c r="B9" i="36"/>
  <c r="B10" i="36"/>
  <c r="D9" i="12"/>
  <c r="C9" i="38" s="1"/>
  <c r="C25" i="38" s="1"/>
  <c r="G25" i="38" s="1"/>
  <c r="M9" i="33"/>
  <c r="D7" i="39"/>
  <c r="G20" i="38"/>
  <c r="G26" i="38"/>
  <c r="N27" i="12"/>
  <c r="L27" i="12"/>
  <c r="D7" i="36"/>
  <c r="B11" i="36"/>
  <c r="F21" i="12"/>
  <c r="E8" i="36"/>
  <c r="K26" i="38"/>
  <c r="I26" i="38"/>
  <c r="H22" i="38"/>
  <c r="G28" i="38"/>
  <c r="J21" i="38"/>
  <c r="K21" i="38" s="1"/>
  <c r="E7" i="39"/>
  <c r="F7" i="39"/>
  <c r="G7" i="39"/>
  <c r="C6" i="36"/>
  <c r="E2" i="37"/>
  <c r="E3" i="37"/>
  <c r="C4" i="37"/>
  <c r="C7" i="37"/>
  <c r="F2" i="37"/>
  <c r="F3" i="37"/>
  <c r="D7" i="37"/>
  <c r="I21" i="12"/>
  <c r="I26" i="12"/>
  <c r="J26" i="12" s="1"/>
  <c r="O26" i="12"/>
  <c r="P26" i="12" s="1"/>
  <c r="J19" i="12"/>
  <c r="B23" i="12"/>
  <c r="H26" i="12"/>
  <c r="M20" i="12"/>
  <c r="N20" i="12" s="1"/>
  <c r="F7" i="37"/>
  <c r="M21" i="12"/>
  <c r="G23" i="12"/>
  <c r="G25" i="12"/>
  <c r="H25" i="12" s="1"/>
  <c r="B27" i="12"/>
  <c r="D3" i="36"/>
  <c r="G3" i="37"/>
  <c r="K20" i="12"/>
  <c r="L20" i="12" s="1"/>
  <c r="E7" i="37"/>
  <c r="K21" i="12"/>
  <c r="E9" i="36"/>
  <c r="C7" i="36"/>
  <c r="O21" i="12"/>
  <c r="P21" i="12" s="1"/>
  <c r="G7" i="37"/>
  <c r="G20" i="12"/>
  <c r="H20" i="12" s="1"/>
  <c r="O23" i="12"/>
  <c r="E11" i="36"/>
  <c r="P20" i="12"/>
  <c r="C3" i="37"/>
  <c r="C2" i="37"/>
  <c r="C8" i="36"/>
  <c r="D3" i="37"/>
  <c r="D2" i="37"/>
  <c r="G19" i="12"/>
  <c r="H19" i="12" s="1"/>
  <c r="B21" i="38"/>
  <c r="B26" i="38"/>
  <c r="C9" i="36"/>
  <c r="B25" i="12"/>
  <c r="K25" i="38"/>
  <c r="C5" i="36"/>
  <c r="B26" i="12"/>
  <c r="C3" i="36"/>
  <c r="C10" i="36"/>
  <c r="H27" i="12"/>
  <c r="B28" i="38"/>
  <c r="I25" i="38"/>
  <c r="D9" i="26"/>
  <c r="B8" i="26" s="1"/>
  <c r="D7" i="26"/>
  <c r="B6" i="26" s="1"/>
  <c r="P24" i="12"/>
  <c r="D5" i="36"/>
  <c r="E10" i="36"/>
  <c r="O22" i="12"/>
  <c r="I23" i="12"/>
  <c r="D2" i="36"/>
  <c r="K19" i="12"/>
  <c r="L19" i="12" s="1"/>
  <c r="O25" i="12"/>
  <c r="I27" i="12"/>
  <c r="J27" i="12" s="1"/>
  <c r="E2" i="36"/>
  <c r="K22" i="12"/>
  <c r="D25" i="12"/>
  <c r="M26" i="12"/>
  <c r="D8" i="36"/>
  <c r="M19" i="12"/>
  <c r="N19" i="12" s="1"/>
  <c r="G21" i="12"/>
  <c r="O27" i="12"/>
  <c r="H23" i="38"/>
  <c r="H21" i="38"/>
  <c r="I21" i="38" s="1"/>
  <c r="J22" i="38"/>
  <c r="C7" i="11"/>
  <c r="F7" i="11"/>
  <c r="C5" i="11"/>
  <c r="C3" i="11"/>
  <c r="F6" i="11"/>
  <c r="B9" i="34" l="1"/>
  <c r="D19" i="12"/>
  <c r="P19" i="12" s="1"/>
  <c r="A2" i="37"/>
  <c r="A4" i="37"/>
  <c r="M28" i="38"/>
  <c r="I20" i="12"/>
  <c r="J20" i="12" s="1"/>
  <c r="E4" i="37"/>
  <c r="N26" i="12"/>
  <c r="D5" i="37"/>
  <c r="Q27" i="38"/>
  <c r="A8" i="37"/>
  <c r="E29" i="38"/>
  <c r="K29" i="38" s="1"/>
  <c r="B10" i="33"/>
  <c r="O28" i="38"/>
  <c r="G9" i="39"/>
  <c r="C8" i="11"/>
  <c r="D3" i="11" s="1"/>
  <c r="J28" i="12"/>
  <c r="O23" i="38"/>
  <c r="O27" i="38"/>
  <c r="O20" i="38"/>
  <c r="K13" i="38"/>
  <c r="P29" i="38" s="1"/>
  <c r="P20" i="38"/>
  <c r="Q20" i="38" s="1"/>
  <c r="P27" i="12"/>
  <c r="G5" i="37"/>
  <c r="F4" i="37"/>
  <c r="E8" i="39"/>
  <c r="F8" i="39"/>
  <c r="O29" i="38"/>
  <c r="E3" i="36"/>
  <c r="F5" i="37"/>
  <c r="C5" i="37"/>
  <c r="D4" i="37"/>
  <c r="E9" i="39"/>
  <c r="H6" i="34"/>
  <c r="D9" i="34"/>
  <c r="D27" i="12"/>
  <c r="F27" i="12" s="1"/>
  <c r="D11" i="36"/>
  <c r="I13" i="38"/>
  <c r="L29" i="38" s="1"/>
  <c r="M29" i="38" s="1"/>
  <c r="L20" i="38"/>
  <c r="M20" i="38" s="1"/>
  <c r="H20" i="38"/>
  <c r="I20" i="38" s="1"/>
  <c r="G13" i="38"/>
  <c r="H29" i="38" s="1"/>
  <c r="B6" i="41"/>
  <c r="D4" i="36" s="1"/>
  <c r="E4" i="36" s="1"/>
  <c r="B7" i="41"/>
  <c r="C4" i="36" s="1"/>
  <c r="T10" i="32"/>
  <c r="D8" i="39"/>
  <c r="L24" i="38"/>
  <c r="M24" i="38" s="1"/>
  <c r="G5" i="39"/>
  <c r="L21" i="38"/>
  <c r="M21" i="38" s="1"/>
  <c r="K27" i="38"/>
  <c r="K28" i="38"/>
  <c r="D6" i="36"/>
  <c r="F22" i="12"/>
  <c r="P22" i="12"/>
  <c r="I23" i="38"/>
  <c r="E2" i="39"/>
  <c r="K23" i="38"/>
  <c r="D29" i="38"/>
  <c r="J22" i="12"/>
  <c r="N22" i="12"/>
  <c r="A2" i="39"/>
  <c r="J24" i="12"/>
  <c r="H24" i="12"/>
  <c r="F3" i="39"/>
  <c r="L22" i="12"/>
  <c r="E5" i="39"/>
  <c r="C3" i="39"/>
  <c r="E6" i="36"/>
  <c r="D3" i="39"/>
  <c r="F8" i="11"/>
  <c r="L28" i="12"/>
  <c r="D2" i="39"/>
  <c r="F2" i="39"/>
  <c r="E4" i="39"/>
  <c r="C2" i="39"/>
  <c r="G3" i="39"/>
  <c r="J20" i="38"/>
  <c r="K20" i="38" s="1"/>
  <c r="L24" i="12"/>
  <c r="F4" i="39"/>
  <c r="C4" i="39"/>
  <c r="N28" i="12"/>
  <c r="F5" i="39"/>
  <c r="C5" i="39"/>
  <c r="E3" i="39"/>
  <c r="D5" i="39"/>
  <c r="F25" i="12"/>
  <c r="H28" i="12"/>
  <c r="D4" i="39"/>
  <c r="C24" i="12"/>
  <c r="F24" i="12" s="1"/>
  <c r="E9" i="12"/>
  <c r="D5" i="12"/>
  <c r="C5" i="38" s="1"/>
  <c r="K15" i="28"/>
  <c r="K4" i="28"/>
  <c r="K9" i="28"/>
  <c r="K12" i="28"/>
  <c r="K14" i="28"/>
  <c r="K13" i="28"/>
  <c r="K6" i="28"/>
  <c r="K5" i="28"/>
  <c r="K10" i="28"/>
  <c r="K16" i="28"/>
  <c r="K18" i="28"/>
  <c r="B8" i="36"/>
  <c r="K7" i="28"/>
  <c r="K11" i="28"/>
  <c r="K17" i="28"/>
  <c r="E4" i="12"/>
  <c r="K8" i="28"/>
  <c r="I29" i="38"/>
  <c r="P25" i="12"/>
  <c r="D28" i="12"/>
  <c r="F9" i="11"/>
  <c r="C9" i="11"/>
  <c r="Q29" i="38" l="1"/>
  <c r="I8" i="34"/>
  <c r="I6" i="34"/>
  <c r="I7" i="34"/>
  <c r="I5" i="34"/>
  <c r="G6" i="11"/>
  <c r="G3" i="11"/>
  <c r="G4" i="11"/>
  <c r="C13" i="38"/>
  <c r="C29" i="38" s="1"/>
  <c r="G29" i="38" s="1"/>
  <c r="C21" i="38"/>
  <c r="G21" i="38" s="1"/>
  <c r="B3" i="36"/>
  <c r="E5" i="12"/>
  <c r="C20" i="12"/>
  <c r="F20" i="12" s="1"/>
  <c r="C19" i="12"/>
  <c r="F19" i="12" s="1"/>
  <c r="B2" i="36"/>
  <c r="D13" i="12"/>
  <c r="C28" i="12" s="1"/>
  <c r="F28" i="12" s="1"/>
  <c r="D4" i="11"/>
  <c r="D5" i="11"/>
  <c r="D6" i="11"/>
  <c r="G5" i="11"/>
  <c r="I9" i="34" l="1"/>
</calcChain>
</file>

<file path=xl/sharedStrings.xml><?xml version="1.0" encoding="utf-8"?>
<sst xmlns="http://schemas.openxmlformats.org/spreadsheetml/2006/main" count="1463" uniqueCount="461">
  <si>
    <t>Review Year</t>
  </si>
  <si>
    <t>Department</t>
  </si>
  <si>
    <t xml:space="preserve">DFID </t>
  </si>
  <si>
    <t>Review type</t>
  </si>
  <si>
    <t>Overall Score</t>
  </si>
  <si>
    <t>Title</t>
  </si>
  <si>
    <t>Lead department</t>
  </si>
  <si>
    <t>Green/Amber</t>
  </si>
  <si>
    <t>DFID’s Support to the Health Sector in Zimbabwe</t>
  </si>
  <si>
    <t>BEIS</t>
  </si>
  <si>
    <t>CSSF</t>
  </si>
  <si>
    <t>FCO</t>
  </si>
  <si>
    <t>DFID</t>
  </si>
  <si>
    <t>Home Office</t>
  </si>
  <si>
    <t>Various</t>
  </si>
  <si>
    <t>Accessing, staying and succeeding in basic education – UK aid’s support to marginalised girls</t>
  </si>
  <si>
    <t>Amber/Red</t>
  </si>
  <si>
    <t>DFID’s Climate Change Programme in Bangladesh</t>
  </si>
  <si>
    <t>DFID’s Approach to Anti-Corruption</t>
  </si>
  <si>
    <t>When aid relationships change: DFID’s approach to managing exit and transition in its development partnerships</t>
  </si>
  <si>
    <t>n/a</t>
  </si>
  <si>
    <t>Red</t>
  </si>
  <si>
    <t>Girl Hub: a DFID and Nike Foundation Initiative</t>
  </si>
  <si>
    <t>DFID’s Oversight of the EU’s Aid to Low-Income Countries</t>
  </si>
  <si>
    <t>Assessing DFID’s Results in Water, Sanitation and Hygiene</t>
  </si>
  <si>
    <t>DFID's education programmes in Nigeria</t>
  </si>
  <si>
    <t>DFID’s efforts to eliminate violence against women and girls</t>
  </si>
  <si>
    <t>Green</t>
  </si>
  <si>
    <t>DFID’s Bilateral Aid to Pakistan</t>
  </si>
  <si>
    <t>The UK Emergency Response in the Horn of Africa</t>
  </si>
  <si>
    <t>UK aid’s contribution to tackling tax avoidance and evasion</t>
  </si>
  <si>
    <t>The Effectiveness of DFID’s Engagement with the Asian Development Bank</t>
  </si>
  <si>
    <t>DFID’s approach to managing fiduciary risk in conflict-affected environments</t>
  </si>
  <si>
    <t>Evaluation of the Inter-Departmental Conflict Pool</t>
  </si>
  <si>
    <t>MOD</t>
  </si>
  <si>
    <t>DFID’s Support for Health and Education in India</t>
  </si>
  <si>
    <t>DFID’s approach to disability in development</t>
  </si>
  <si>
    <t>DFID’s Education Programmes in Three East African Countries</t>
  </si>
  <si>
    <t>The Management of UK Budget Support Operations</t>
  </si>
  <si>
    <t>DFID’s Electoral Support through UNDP</t>
  </si>
  <si>
    <t>DFID: Programme Controls and Assurance in Afghanistan</t>
  </si>
  <si>
    <t>DFID’s approach to supporting inclusive growth in Africa</t>
  </si>
  <si>
    <t>The Effectiveness of DFID’s Engagement with the World Bank</t>
  </si>
  <si>
    <t>The effects of DFID’s cash transfer programmes on poverty and vulnerability</t>
  </si>
  <si>
    <t>DFID’s Use of Contractors to Deliver Aid Programmes</t>
  </si>
  <si>
    <t>UK aid in a conflict-affected country: Reducing conflict and fragility in Somalia</t>
  </si>
  <si>
    <t>DFID’s Livelihoods Work in Western Odisha</t>
  </si>
  <si>
    <t>DFID’s work through the United Nations Children’s Fund (UNICEF)</t>
  </si>
  <si>
    <t>The UK’s aid response to irregular migration in the central Mediterranean</t>
  </si>
  <si>
    <t>DFID’s Peace and Security Programme in Nepal</t>
  </si>
  <si>
    <t>DFID’s Trade Development Work in Southern Africa</t>
  </si>
  <si>
    <t>Global Challenges Research Fund</t>
  </si>
  <si>
    <t>DFID’s Support to Agricultural Research</t>
  </si>
  <si>
    <t>The cross-government Prosperity Fund A Rapid Review</t>
  </si>
  <si>
    <t>DFID’s Empowerment and Accountability Programming in Ghana and Malawi</t>
  </si>
  <si>
    <t>DFID’s Support for Palestine Refugees through UNRWA</t>
  </si>
  <si>
    <t>The Conflict, Stability and Security Fund's aid spending</t>
  </si>
  <si>
    <t>DFID’s Support to Capital Projects in Montserrat</t>
  </si>
  <si>
    <t>DFID’s Health Programmes in Burma</t>
  </si>
  <si>
    <t>Foreign and Commonwealth Office’s and the British Council’s use of aid in response to the Arab Spring</t>
  </si>
  <si>
    <t>DFID’s governance work in Nepal and Uganda</t>
  </si>
  <si>
    <t>DFID’s Water, Sanitation and Hygiene Programming in Sudan</t>
  </si>
  <si>
    <t>DFID’s Support for Civil Society Organisations through Programme Partnership Arrangements</t>
  </si>
  <si>
    <t>Not graded</t>
  </si>
  <si>
    <t>Rapid Review of DFID’s Smart Rules</t>
  </si>
  <si>
    <t>DFID’s approach to value for money in programme and portfolio management</t>
  </si>
  <si>
    <t>The UK’s International Climate Fund</t>
  </si>
  <si>
    <t>DECC</t>
  </si>
  <si>
    <t>DFID’s Approach to Anti-Corruption and Its Impact on the Poor</t>
  </si>
  <si>
    <t>Building resilience to natural disasters</t>
  </si>
  <si>
    <t>DFID’s Contribution to Improving Nutrition</t>
  </si>
  <si>
    <t>The UK aid response to global health threats</t>
  </si>
  <si>
    <t>DFID’s Private Sector Development Work</t>
  </si>
  <si>
    <t>The UK’s humanitarian support to Syria</t>
  </si>
  <si>
    <t>DFID’s Contribution to the Reduction of Child Mortality in Kenya</t>
  </si>
  <si>
    <t>Rapid Review of DFID’s Humanitarian Response to Typhoon Haiyan in the Philippines</t>
  </si>
  <si>
    <t>DFID’s Bilateral Support to Growth and Livelihoods in Afghanistan</t>
  </si>
  <si>
    <t xml:space="preserve">How DFID works with multilateral agencies to achieve impact </t>
  </si>
  <si>
    <t>Business in Development</t>
  </si>
  <si>
    <t>Review of UK Development Assistance for Security and Justice</t>
  </si>
  <si>
    <t>A preliminary investigation of Official Development Assistance (ODA) spent by departments other than DFID</t>
  </si>
  <si>
    <t>various</t>
  </si>
  <si>
    <t>Assessing the Impact of the Scale-up of DFID’s Support to Fragile States</t>
  </si>
  <si>
    <t>National Crime Agency</t>
  </si>
  <si>
    <t>Total spending reviewed (£m)</t>
  </si>
  <si>
    <t>Impact</t>
  </si>
  <si>
    <t>Learning</t>
  </si>
  <si>
    <t>DFID’s transport and urban infrastructure investments</t>
  </si>
  <si>
    <t>Assessing DFID’s results in improving Maternal Health</t>
  </si>
  <si>
    <t>Year</t>
  </si>
  <si>
    <t>Total Graded</t>
  </si>
  <si>
    <t>Total</t>
  </si>
  <si>
    <t>DEFRA</t>
  </si>
  <si>
    <t xml:space="preserve">FCO </t>
  </si>
  <si>
    <t>Department for International Development2,3</t>
  </si>
  <si>
    <t>Department for International Development3</t>
  </si>
  <si>
    <t>Department for International Development2</t>
  </si>
  <si>
    <t>Of which:</t>
  </si>
  <si>
    <t>EU Attribution4</t>
  </si>
  <si>
    <t>EU Attribution</t>
  </si>
  <si>
    <t>Yes</t>
  </si>
  <si>
    <t>No</t>
  </si>
  <si>
    <t>DFID (12)</t>
  </si>
  <si>
    <t>Total non-DFID</t>
  </si>
  <si>
    <t>Conflict pool (9)</t>
  </si>
  <si>
    <t xml:space="preserve">CSSF (4) </t>
  </si>
  <si>
    <t>Department for Business, Energy and Industrial Strategy5</t>
  </si>
  <si>
    <t>Foreign &amp; Commonwealth Office</t>
  </si>
  <si>
    <t>Conflict Pool/Conflict, Stability and Security Fund (CSSF)6,7</t>
  </si>
  <si>
    <t>Department of Energy and Climate Change</t>
  </si>
  <si>
    <t>Conflict, Stability and Security Fund (CSSF)/Conflict Pool4,5</t>
  </si>
  <si>
    <t>Department for Business, Innovation and Skills</t>
  </si>
  <si>
    <t>HM Treasury</t>
  </si>
  <si>
    <t>Department for Environment Food and Rural Affairs</t>
  </si>
  <si>
    <t>Scottish Government</t>
  </si>
  <si>
    <t>Department of Health</t>
  </si>
  <si>
    <t>Prosperity Cross- Government Fund8</t>
  </si>
  <si>
    <t>Department for Work and Pensions</t>
  </si>
  <si>
    <t>Department of Education</t>
  </si>
  <si>
    <t>Department for Education</t>
  </si>
  <si>
    <t>Export Credits Guarantee Department</t>
  </si>
  <si>
    <t>Ministry of Defence</t>
  </si>
  <si>
    <t>HM Revenue and Customs</t>
  </si>
  <si>
    <t>Welsh Government</t>
  </si>
  <si>
    <t>Department for Culture, Media and Sports</t>
  </si>
  <si>
    <t>Export Credits Guarantee Department9</t>
  </si>
  <si>
    <t>HM Treasury3</t>
  </si>
  <si>
    <t>~</t>
  </si>
  <si>
    <t>Other Sources of UK ODA</t>
  </si>
  <si>
    <t>Office for National Statistics8,10</t>
  </si>
  <si>
    <t>EU Attribution (non - DFID)4</t>
  </si>
  <si>
    <t>CDC Group PLC</t>
  </si>
  <si>
    <t>Conflict Pool5</t>
  </si>
  <si>
    <t>Other contributors of UK ODA</t>
  </si>
  <si>
    <t>Gift Aid</t>
  </si>
  <si>
    <t>EU Attribution (non - DFID)5</t>
  </si>
  <si>
    <t>CDC Capital Partners PLC</t>
  </si>
  <si>
    <t>IMF Poverty Reduction and Growth Trust (PRGT)</t>
  </si>
  <si>
    <t>EU Attribution (non - DFID)4,7</t>
  </si>
  <si>
    <t>BBC World Service</t>
  </si>
  <si>
    <t>Colonial Pensions administered by DFID</t>
  </si>
  <si>
    <t>Miscellaneous6</t>
  </si>
  <si>
    <t>Total UK Net ODA</t>
  </si>
  <si>
    <t>CDC Capital Partners PLC7</t>
  </si>
  <si>
    <t>Total UK ODA</t>
  </si>
  <si>
    <t>1 Introduction</t>
  </si>
  <si>
    <t>Figure 5: UK ICF spending 2011-12 to 2013-14 with departmental contribution</t>
  </si>
  <si>
    <t>Share in</t>
  </si>
  <si>
    <t>Contribution</t>
  </si>
  <si>
    <t>Total ICF</t>
  </si>
  <si>
    <t>Country /</t>
  </si>
  <si>
    <t>from UK ICF</t>
  </si>
  <si>
    <t>Spending to</t>
  </si>
  <si>
    <t>Region</t>
  </si>
  <si>
    <t>Thematic Area</t>
  </si>
  <si>
    <t>Programme Title</t>
  </si>
  <si>
    <t>(£ millions)</t>
  </si>
  <si>
    <t>date</t>
  </si>
  <si>
    <t>Defra</t>
  </si>
  <si>
    <t>9 largest multilateral programmes</t>
  </si>
  <si>
    <t>Clean Technology Fund (CTF) -</t>
  </si>
  <si>
    <t>Global</t>
  </si>
  <si>
    <t>Low carbon</t>
  </si>
  <si>
    <t>Climate Investment Funds (CIF)</t>
  </si>
  <si>
    <t>Pilot</t>
  </si>
  <si>
    <t>Program</t>
  </si>
  <si>
    <t>for</t>
  </si>
  <si>
    <t>Climate</t>
  </si>
  <si>
    <t>Adaptation</t>
  </si>
  <si>
    <t>Resilience (PPCR) - CIF</t>
  </si>
  <si>
    <t>Support to the Least Developed</t>
  </si>
  <si>
    <t>Countries Fund (LDC FUND)</t>
  </si>
  <si>
    <t>Forestry</t>
  </si>
  <si>
    <t>BioCarbon   Fund   Initiative   for</t>
  </si>
  <si>
    <t>Sustainable Forest Landscapes</t>
  </si>
  <si>
    <t>Global Environment Facility (focus</t>
  </si>
  <si>
    <t>on climate change)</t>
  </si>
  <si>
    <t>Scaling-up   Renewable   Energy</t>
  </si>
  <si>
    <t>Program - (CIF)</t>
  </si>
  <si>
    <t>Forestry Investment Program (FIP)</t>
  </si>
  <si>
    <t>- CIF</t>
  </si>
  <si>
    <t>Support to the Adaptation Fund for</t>
  </si>
  <si>
    <t>developing   countries   to   build</t>
  </si>
  <si>
    <t>climate resilience</t>
  </si>
  <si>
    <t>Partnership for Market Readiness</t>
  </si>
  <si>
    <t>Fund</t>
  </si>
  <si>
    <t>6 largest bilateral programmes</t>
  </si>
  <si>
    <t>Adaptation for Smallholder</t>
  </si>
  <si>
    <t>Agricultural Programme (ASAP)</t>
  </si>
  <si>
    <t>Global, China,</t>
  </si>
  <si>
    <t>South Africa,</t>
  </si>
  <si>
    <t>Global Carbon Capture and</t>
  </si>
  <si>
    <t>Indonesia</t>
  </si>
  <si>
    <t>Storage (CCS) Capacity Building</t>
  </si>
  <si>
    <t>Climate Public Private Partnership</t>
  </si>
  <si>
    <t>Nationally Appropriate Mitigation</t>
  </si>
  <si>
    <t>Action (NAMA) Facility</t>
  </si>
  <si>
    <t>Climate and Development</t>
  </si>
  <si>
    <t>Cross-cutting</t>
  </si>
  <si>
    <t>Knowledge Network (CDKN) -</t>
  </si>
  <si>
    <t>Outputs and Advocacy Fund</t>
  </si>
  <si>
    <t>Bangladesh Climate Change</t>
  </si>
  <si>
    <t>Bangladesh</t>
  </si>
  <si>
    <t>Programme I - Jolobayoo-O-Jibon</t>
  </si>
  <si>
    <t>Total 9 multilateral + 6 bilateral programmes</t>
  </si>
  <si>
    <t>Other bilateral programmes (not reviewed)</t>
  </si>
  <si>
    <t>Total ICF spending for all programmes</t>
  </si>
  <si>
    <t>11 The Forest Carbon Partnership Facility was initially included in our sample but subsequently removed owing to its lack of spending. Differences due to rounding.</t>
  </si>
  <si>
    <t>-</t>
  </si>
  <si>
    <t>Dept</t>
  </si>
  <si>
    <t>Total reviews</t>
  </si>
  <si>
    <t>NCA</t>
  </si>
  <si>
    <t>£m</t>
  </si>
  <si>
    <t>Department for International Development</t>
  </si>
  <si>
    <t>EU Attribution 2</t>
  </si>
  <si>
    <t>Department for Business, Energy and Industrial Strategy</t>
  </si>
  <si>
    <t>Conflict, Stability and Security Fund (CSSF)3</t>
  </si>
  <si>
    <t>Department of Health and Social Care</t>
  </si>
  <si>
    <t>Prosperity Cross- Government Fund</t>
  </si>
  <si>
    <t xml:space="preserve">Department for Education </t>
  </si>
  <si>
    <t>Export Credits Guarantee Department4</t>
  </si>
  <si>
    <t>Cabinet Office5</t>
  </si>
  <si>
    <t>HM Treasury6</t>
  </si>
  <si>
    <t>Office for National Statistics7</t>
  </si>
  <si>
    <t>EU Attribution (non - DFID)2</t>
  </si>
  <si>
    <t>1.  Figures may not sum to totals due to roundings.</t>
  </si>
  <si>
    <t>2. The methodology for apportioning EU attribution to DFID and non-DFID areas changed in 2016, so spend prior to 2016 is not directly comparable with 2017 figures</t>
  </si>
  <si>
    <t>3. CSSF includes the contribution to EU peacekeeping activities as the fund responsible for the spend.  This contribution is not counted in the EU</t>
  </si>
  <si>
    <t xml:space="preserve">  attribution (non-DFID) figure to avoid double-counting.  The overall EU attribution figure has not changed.</t>
  </si>
  <si>
    <t>4. Debt Relief from ECGD</t>
  </si>
  <si>
    <t>5. The Cabinet Office are new ODA providers in 2017.</t>
  </si>
  <si>
    <t xml:space="preserve">6. In 2016, HMT paid the UK's subscription to the Asian Infrastructure Investment Bank (AIIB). In 2017, DFID paid the AIIB subscription. </t>
  </si>
  <si>
    <t>7. ONS ODA  was less than last significant figure in the table. In 2017 it was £224,999 and in 2016 it was £55,335</t>
  </si>
  <si>
    <t>"z" is not applicable, "0" is null and "~" is less than half the smallest unit displayed.</t>
  </si>
  <si>
    <t xml:space="preserve">Email: statistics@dfid.gsx.gov.uk </t>
  </si>
  <si>
    <t>Notes &amp; Definitions</t>
  </si>
  <si>
    <t>The figures in this table are National Statistics</t>
  </si>
  <si>
    <t>CSSF/Conflict pool</t>
  </si>
  <si>
    <t>Conflict Pool/Conflict, Stability and Security Fund (CSSF)</t>
  </si>
  <si>
    <t>Export Credit Guarantee Department</t>
  </si>
  <si>
    <t>Ministry of Defence ²</t>
  </si>
  <si>
    <t>Spending graded (£m)</t>
  </si>
  <si>
    <t>Graded reviews</t>
  </si>
  <si>
    <t>(£m)</t>
  </si>
  <si>
    <t>(%)</t>
  </si>
  <si>
    <t>Total spending graded (£m)</t>
  </si>
  <si>
    <t>z</t>
  </si>
  <si>
    <t>Total UK ODA spending by government departments and cross government funds.</t>
  </si>
  <si>
    <t>Source: DFID Statistics on International Development</t>
  </si>
  <si>
    <t>Total budget (p.3)</t>
  </si>
  <si>
    <t>DFID-approved education programmes in
Ethiopia, Rwanda and Tanzania, 2011-12 (p.4)</t>
  </si>
  <si>
    <t>DFID HA expenditure in financial year
2011-12 (p. 26)</t>
  </si>
  <si>
    <t>Total DFID Humanitarian response in Horn of Africa  2011-2012</t>
  </si>
  <si>
    <t>The report " does this through a review
of four health and education programmes in the state of
Bihar. Together, these are budgeted to spend over £180
million between 2010 and 2016." (p.1)</t>
  </si>
  <si>
    <t>Level of UK general budget
support 2010-11 in case study countries (p.6)</t>
  </si>
  <si>
    <t>Total budget support aid 2010-2011 (p.1)</t>
  </si>
  <si>
    <t>DFID’s planned expenditure on bilateral aid to
Afghanistan is £178 million in 2011-12 and in each of the
next three financial years (p.1)</t>
  </si>
  <si>
    <t>ten sample programmes in Afghanistan (p.5)</t>
  </si>
  <si>
    <t>The UK’s contributions to the EU for aid expenditure are
approximately £1.4 billion a year, (p.1)</t>
  </si>
  <si>
    <t>Total DFID ODA disbursements in 2011 in case study countries (p.5).</t>
  </si>
  <si>
    <t>The evaluation looks at the results achieved in a sample of programmes in these sectors with combined commitments of over £250 million (p.1)</t>
  </si>
  <si>
    <t>DFID contribution to case study projects (p.27-31)</t>
  </si>
  <si>
    <t>DFID's total funding to ADB over five years (p.1)</t>
  </si>
  <si>
    <t>Over the last five years, DFID has contributed £5.1 billion to IBRD
and IDA (p.1)</t>
  </si>
  <si>
    <t>Sum of conflict pool spending in case study countries (Pakistan &amp; DRC) divided between government departments. The review stated that the bulk of the programmes in the case study countries were delivered by the FCO. We've assigned  60% fco and 20% each to DFID and the MOD. (p.1, 3, 9)</t>
  </si>
  <si>
    <t>Total spending on Conflict Pool 2010-2011 (p.3-4)</t>
  </si>
  <si>
    <t>Combined budget of two grantmaking funds for civil society organisations (CSOs) and a project that supports community monitoring of local services (p.1)</t>
  </si>
  <si>
    <t>Combined budgets of DFID's health programmes in Burma (p.5-6)</t>
  </si>
  <si>
    <t>Budget of DFID’s Western Orissa Livelihoods Project (WORLP) (p.1)</t>
  </si>
  <si>
    <t>This review assesses five DFID peace and security projects, costing £53 million (p.1)</t>
  </si>
  <si>
    <t>DFID will provide a total of £120 million a year to 41 organisations, with grants ranging from £151,000 to £11 million (p.1)</t>
  </si>
  <si>
    <t>Sum of annual funding of case study organisations 2011-12 (p.27)</t>
  </si>
  <si>
    <t>The Department for International Development (DFID) is UNRWA’s fourth
largest donor, contributing £173.2 million in the period 2008-12 (p.1)</t>
  </si>
  <si>
    <t>Budget of programmes selected for the review (p.7)</t>
  </si>
  <si>
    <t>DFID has committed £350 million to agricultural research (2010-15) to improve food security and tackle hunger in developing countries (p.1)</t>
  </si>
  <si>
    <t>DFID spending on " Examined projects" (p.7)</t>
  </si>
  <si>
    <t>Budgets of case study countries (p.24-25)</t>
  </si>
  <si>
    <t>"We reviewed two programmes: the £100 million TradeMark
Southern Africa (TMSA) and the £9 million regional
component of the Mozambique Regional Gateway
Programme (MRGP)." (p.1)</t>
  </si>
  <si>
    <t>"We reviewed DFID’s central procurement group (PrG)
and five case studies of varying sizes with a combined
contract value of £264 million: programmes in
Bangladesh, Yemen and Nigeria; a global climate and
development knowledge network; and due diligence on
civil society organisations receiving DFID funds." (p.1)</t>
  </si>
  <si>
    <t>Spending on contractor work 2011/12 (p2).</t>
  </si>
  <si>
    <t>Wash component of project sample (p.4)</t>
  </si>
  <si>
    <t>DFID contribution spent
on WASH programming in Sudan (p.26)</t>
  </si>
  <si>
    <t>Over the period 2007-11, the UK Government was the secondlargest donor to UNICEF after the United States,
contributing £690 million.  (p.1)</t>
  </si>
  <si>
    <t>DFID funding of UNICEF case study programmes untill Oct 2012. (p.6)</t>
  </si>
  <si>
    <t>FCO and British Council ODA expenditure in APPF focus countries (p.24)</t>
  </si>
  <si>
    <t xml:space="preserve"> DFID has increased its annual anti-corruption expenditure from approximately £3.5 million in 2007-08 to some £22 million in 2013-14, as reflected in Figure 2. </t>
  </si>
  <si>
    <t xml:space="preserve">DFID has increased its annual anti-corruption expenditure from approximately £3.5 million in 2007-08 to some £22 million in 2013-14, as reflected in Figure 2. </t>
  </si>
  <si>
    <t>Sum of budgets of five case study projects (p.7)</t>
  </si>
  <si>
    <t>Sum of budgets of nutrition based programmes in sample countries (p.7)</t>
  </si>
  <si>
    <t xml:space="preserve"> We decided to focus,
instead, on five core health programmes, totalling
£163 million, which address malaria and support to
immunisation and ‘health systems strengthening’ (p.5)</t>
  </si>
  <si>
    <t>DFID is
forecasting that, by 2015-16, it will spend £1.8
billion a year on economic development activities,
more than doubling the amount spent in 2012-13. (p.4)</t>
  </si>
  <si>
    <t>DFID expenditure of selected case study programmes, 2007-1 (p.7)</t>
  </si>
  <si>
    <t>The UK provided £77 million of humanitarian assistance, led by DFID 2013/14 (p.1)</t>
  </si>
  <si>
    <t>Departmental contribution to bilateral and multilateral ICF programmes. (p.6)</t>
  </si>
  <si>
    <t>Total departmental ICF allocations 2011-2015 (p.12)</t>
  </si>
  <si>
    <t>Programmes reviewed in Somalia &amp; DRC (p.6-7)</t>
  </si>
  <si>
    <t>Sample of approaches, initiatives, funds, investments and programmes which we have considered during the course of our review.  (p.38-40)</t>
  </si>
  <si>
    <t>Girl-focused  programmes in case study countries. (p.9)</t>
  </si>
  <si>
    <t>Girl-focused country programmes,  girl-focused centrally
managed programmes, and Girls Education Challenge (p.15)</t>
  </si>
  <si>
    <t>DFID spent £700 million over the previous 5 years on WASH programmes in 27 countries (p.8)</t>
  </si>
  <si>
    <t xml:space="preserve">Conducted desk reviews of 25% of the projects contributing to the results framework (p.14). Specific case studies in Mozambique (DFID contributed about 1/3 of £164, p.20) and Zimbabwe (no budget listed). </t>
  </si>
  <si>
    <t>2015/16 spending in fragile states and regions (p.15).</t>
  </si>
  <si>
    <t>DFID has 23 programmes dedicated to addressing VAWG with a total budget of £184 million, and more than 100 other programmes with one or more elements addressing VAWG.</t>
  </si>
  <si>
    <t>The total financial commitment to the initiatives covered by this review is £38.9 million over a fourteenyear period (2010-24). (p.8)</t>
  </si>
  <si>
    <t xml:space="preserve">UK net aid flows to case study transition countries in 2014. (chart on p.37, full data in DFID Statistics on International Development). </t>
  </si>
  <si>
    <t xml:space="preserve">DFID’s economic development portfolio in our case study countries p.11-12. </t>
  </si>
  <si>
    <t xml:space="preserve"> DFID’s economic development portfolio 2015-16 (p.11)</t>
  </si>
  <si>
    <t>With a budget of £1.5 billion from 2016 to 2021, (p.1)</t>
  </si>
  <si>
    <t>By July 2017, nearly £1.3 billion of the £1.5 billion total had been approved to delivery partners (p.4)</t>
  </si>
  <si>
    <t>Total indicative budget of concept notes in development (p.11)</t>
  </si>
  <si>
    <t>Concept notes approved by department (p.12) (estimated from graph)</t>
  </si>
  <si>
    <t>DFID budget for programme sample cash transfer programmes (p.36-41)</t>
  </si>
  <si>
    <t xml:space="preserve">DFID budget for programme sample cash transfer programmes (p.36-41) (Sample includes all cash transfer projects). </t>
  </si>
  <si>
    <t>"UK migration-related aid programmes in Libya and the central Mediterranean" (p.22)</t>
  </si>
  <si>
    <t>No FCO funded programmes examined</t>
  </si>
  <si>
    <t>No NCA funded programmes examined</t>
  </si>
  <si>
    <t>Total DFID aid spent in Somalia, 2009 - 2015 (90% of total UK Aid spend) p.9</t>
  </si>
  <si>
    <t>Total FCO aid spent in Somalia, 2009 - 2015  (10% of total UK Aid spend) p.9</t>
  </si>
  <si>
    <t>Spending    specifically related to family planning, reproductive health care and maternal and neonatal health 2011-12 to 2014 -15. (p.16)</t>
  </si>
  <si>
    <t>For this review, we assessed eight centrally managed programmes with combined budgets of £750
million (p.17)</t>
  </si>
  <si>
    <t>Sum of budgets of resilience programmes in case study countries (p.19-21). In £m: 100 (african risk capacity), 25 ( Bangladesh, DFID’s Humanitarian Preparedness and Response programme), 22(Nepal, the humanitarian risk analysis undertaken for DFID’s programme to increase resilience to natural disasters), 53.8 (Enhancing Resilience in Karamoja), 48.2 (Transforming the Economy through Climate Smart Agribusiness), 23.8 (Ethiopia, DFID’s Climate High-Level Investment programm), 85 (Nepal’s Health Sector programme), 223 (Strategic Partnership Arrangement with BRAC), 38 ( in Mozambique, a DFID water and sanitation programme) 120 (DFID’s Bangladesh Education Development programme)</t>
  </si>
  <si>
    <t>Budet of programmes reviewed, scaled by disability % (p.40)</t>
  </si>
  <si>
    <t>Programme sample (p.36-40)</t>
  </si>
  <si>
    <t>Spend on governance in Nepal &amp; Uganda (2009-2016) (p.40-44)</t>
  </si>
  <si>
    <t>Amount spent/ budgeted by sampled programmes  (p.40-44)</t>
  </si>
  <si>
    <t>"We selected 13 bilateral programmes for detailed review... Their combined budget of £1.46 billion accounts for 37%
of DFID’s transport and urban infrastructure programming during our review period." (p.9)</t>
  </si>
  <si>
    <t>CSSF budget in case study countries and regions (p.15) scaled by departmental contrinbution (p.8)</t>
  </si>
  <si>
    <t>CSSF budget in 2015-16 (p.5) scaled by departmental contribution (p.8)</t>
  </si>
  <si>
    <t>The UK has mounted its largest-ever humanitarian operation, committing £2.71 billion to the regional response since 2012, with £910 million allocated for humanitarian operations in Syria. (p.1)</t>
  </si>
  <si>
    <t>Budget of delivery partner case studies (p.40-41)</t>
  </si>
  <si>
    <t>Achieving value for money through procurement (Part 1: DFID’s approach to its supplier market, and Part 2: DFID’s approach to value for money through tendering and contract management)</t>
  </si>
  <si>
    <t>Value of contracts in sample (part 2 p.40-50)</t>
  </si>
  <si>
    <t>Indirect</t>
  </si>
  <si>
    <t>Direct</t>
  </si>
  <si>
    <t>UK Aid</t>
  </si>
  <si>
    <t>Directly</t>
  </si>
  <si>
    <t>Indirectly</t>
  </si>
  <si>
    <t>Total UK Aid</t>
  </si>
  <si>
    <t>Annex 2</t>
  </si>
  <si>
    <t>Total Departmental Aid 2011-2017</t>
  </si>
  <si>
    <t>Total Aid</t>
  </si>
  <si>
    <t>“In the period 2010-14, DFID plans to invest around £7 million via the Metropolitan Police, City of London Police and the Crown Prosecution Service into fighting corruption” (p.11). This is the only mention of spending intended to reduce or prevent corruption.</t>
  </si>
  <si>
    <t xml:space="preserve">“In the period 2010-14, DFID plans to invest around £7 million via the Metropolitan Police, City of London Police and the Crown Prosecution Service into fighting corruption” (p.11). This is the only mention of spending intended to reduce or prevent corruption. </t>
  </si>
  <si>
    <t>Sum of programme budgets (p.3 table 1).</t>
  </si>
  <si>
    <t>UK total aid spending Pakistan 2010-2011 (p.3).</t>
  </si>
  <si>
    <t>Total DFID contribution through UNDP for elections 2001-2011 (p.1)</t>
  </si>
  <si>
    <t>DFID expenditure to date (as of the date of the report) on the education programmes in Nigeria investigated by the review (p.4)</t>
  </si>
  <si>
    <t>The Department for International Development (DFID) contributed £1.6 billion to the Bank in the 2010-11 financial year, which represented a fifth of all UK Official Development Assistance (p.1).</t>
  </si>
  <si>
    <t>DFID expects to provide aid of
over £24 million each year to Montserrat from 2012-13 to 2014-15 (p.1)</t>
  </si>
  <si>
    <t>DFID spent £192.8 million on nutrition in 2012 (p.1).</t>
  </si>
  <si>
    <t>Performance</t>
  </si>
  <si>
    <t>Rapid</t>
  </si>
  <si>
    <t>FCO 
(2 reviews)</t>
  </si>
  <si>
    <t>DFID 
(4 reviews)</t>
  </si>
  <si>
    <t>DFID 
(2 reviews)</t>
  </si>
  <si>
    <t>FCO 
(0 reviews)</t>
  </si>
  <si>
    <t>Satifactory</t>
  </si>
  <si>
    <t>Indirectly evaluated exp</t>
  </si>
  <si>
    <t>DFID spending through suppliers 2016-17 (p.1)</t>
  </si>
  <si>
    <t>Budget of programmes reviewed, scaled by disability % (p.40)</t>
  </si>
  <si>
    <t>This review examines DFID’s bilateral programming on transport and urban infrastructure, which over 2015 and 2016 consisted of 57 programmes with combined budgets of £3.9 billion (p.1)</t>
  </si>
  <si>
    <t>Total budget for all stronger, smarter, swifter programmes on global health threats (p.43-45)</t>
  </si>
  <si>
    <t xml:space="preserve"> The centrally managed programmes we reviewed and how they fit into the Stronger, Smarter, Swifter strategic framework (including GAVI) (p.12)</t>
  </si>
  <si>
    <t>Directly evaluated exp</t>
  </si>
  <si>
    <t>Budgets of programmes sampled by department (p.43-49)</t>
  </si>
  <si>
    <t xml:space="preserve">2015/16 spending in 5 case study countries.  (p.12-13) </t>
  </si>
  <si>
    <t>The UK Government has committed to spending 30% of
The UK Government has committed to spending 30% of Official Development Assistance (ODA) in fragile states by 2014-15, an increase from £1.8 billion of bilateral ODA
(2011-12) to £3.4 billion (2014-15).</t>
  </si>
  <si>
    <t>DFID spends almost two thirds of its annual budget (£6.3 billion in 2013-14) through them (p.1).</t>
  </si>
  <si>
    <t>Based on the information available to us, we calculate that, between 2012-13 and 2014-15, DFID committed £494 million to its work with business in development (p.2).</t>
  </si>
  <si>
    <t>UK Spending through multilaterals in case study countries (Imputed UK Share of Multilateral Net ODA by country 2014, DFID Statistics on International development 2015).</t>
  </si>
  <si>
    <t>The UK’s largest current S&amp;J programmes, by total budget (p.6).</t>
  </si>
  <si>
    <t>UK S&amp;J programmes in case study countries (Malawi &amp; Bangladesh) (p.6).</t>
  </si>
  <si>
    <t>In 2013-14, the share of DFID’s health support to Kenya was planned to be £37 million (p.4)</t>
  </si>
  <si>
    <t>This review assesses the effectiveness of DFID’s
bilateral growth and livelihoods projects, which account
for approximately 30% of DFID’s £190 million annual aid
budget in Afghanistan (p.1)</t>
  </si>
  <si>
    <t xml:space="preserve">Sum of DFID contribution through UNDP for elections to case study countries (p.5). </t>
  </si>
  <si>
    <t>The FCO has increased its ODA expenditure in the region from just £16 million in 2009-10 to £38.8 million in 2011-12 or 14% of its total ODA</t>
  </si>
  <si>
    <t>The report " does this through a review of four health and education programmes in the state of Bihar. Together, these are budgeted to spend over £180 million between 2010 and 2016." (p.1)</t>
  </si>
  <si>
    <t>The review " focusses on the £75 million Department for International Development (DFID) Bangladesh Climate Change Programme, approved in September 2008." (p.1)</t>
  </si>
  <si>
    <t>All reviews</t>
  </si>
  <si>
    <t>Graded reviews only</t>
  </si>
  <si>
    <t>£m evaluated</t>
  </si>
  <si>
    <t>% of graded spending</t>
  </si>
  <si>
    <t>% of aid evaluated</t>
  </si>
  <si>
    <t xml:space="preserve"> </t>
  </si>
  <si>
    <t>Number of Reviews</t>
  </si>
  <si>
    <t>% of graded reviews</t>
  </si>
  <si>
    <t>Impact and learning</t>
  </si>
  <si>
    <t>DFID (£)</t>
  </si>
  <si>
    <t>DFID %</t>
  </si>
  <si>
    <t>DHSC</t>
  </si>
  <si>
    <t>Percentage</t>
  </si>
  <si>
    <t>Average value</t>
  </si>
  <si>
    <t>By review</t>
  </si>
  <si>
    <t>By spending</t>
  </si>
  <si>
    <t>Number of Graded ICAI reviews</t>
  </si>
  <si>
    <t>Total directly evaluated (£m)</t>
  </si>
  <si>
    <t>Percentage of graded spending recieving Green or Amber/ Green</t>
  </si>
  <si>
    <t xml:space="preserve"> - </t>
  </si>
  <si>
    <t>% of aid indirectly evaluated</t>
  </si>
  <si>
    <t>Annex 3</t>
  </si>
  <si>
    <t xml:space="preserve"> -</t>
  </si>
  <si>
    <t>Spending indirectly evaluated (£m)</t>
  </si>
  <si>
    <t xml:space="preserve">Note on CSSF: </t>
  </si>
  <si>
    <t>Spending</t>
  </si>
  <si>
    <t>Grade</t>
  </si>
  <si>
    <t>Note: The CSSF (formerly the Conflict Pool) is not a department. Other departments spend aid through it. This sheet breaks out reviews evaluating CSSF spending</t>
  </si>
  <si>
    <t>CSSF/Conflict Pool*</t>
  </si>
  <si>
    <t xml:space="preserve">The CSSF (formerly Conflict Pool) is not a department, and it's spending is calculated seperately in the sheet CSSF breakout. </t>
  </si>
  <si>
    <t>Total number of ICAI reviews</t>
  </si>
  <si>
    <t>Foreign and Commonwealth Office</t>
  </si>
  <si>
    <t>Z</t>
  </si>
  <si>
    <t>Total CSSF / Conflict Pool ODA</t>
  </si>
  <si>
    <t>Table 4a. Breakdown of CSSF/Conflict Pool ODA by Government Department</t>
  </si>
  <si>
    <t>% of the fund ODA</t>
  </si>
  <si>
    <t>Crown Prosecution Service</t>
  </si>
  <si>
    <t>Department for Transport</t>
  </si>
  <si>
    <t>Source: Statistics for International Development</t>
  </si>
  <si>
    <t>Last updated: 16 November 2017</t>
  </si>
  <si>
    <t>Next update: November 2018</t>
  </si>
  <si>
    <t>2013, 2016 and 2017</t>
  </si>
  <si>
    <t>Updated: 29 November 2018</t>
  </si>
  <si>
    <t>Next update: April 2019</t>
  </si>
  <si>
    <r>
      <t>Table 4. Breakdown of Conflict Pool Net ODA: by Official Agency</t>
    </r>
    <r>
      <rPr>
        <b/>
        <vertAlign val="superscript"/>
        <sz val="16"/>
        <rFont val="Arial"/>
        <family val="2"/>
      </rPr>
      <t>1</t>
    </r>
  </si>
  <si>
    <t>£ million</t>
  </si>
  <si>
    <t>Change since 2012</t>
  </si>
  <si>
    <t>Change since 2013</t>
  </si>
  <si>
    <t>% Conflict Pool ODA</t>
  </si>
  <si>
    <t>%</t>
  </si>
  <si>
    <t>Total Conflict Pool Net ODA</t>
  </si>
  <si>
    <t>Spending through CSSF/Conflict Pool</t>
  </si>
  <si>
    <t>Table 4b. Breakdown of Prosperity Cross- Government Fund ODA by Government Department</t>
  </si>
  <si>
    <t>Total Prosperity Cross- Government Fund ODA</t>
  </si>
  <si>
    <t>Cabinet Office</t>
  </si>
  <si>
    <t xml:space="preserve">HM Treasury </t>
  </si>
  <si>
    <t>Next update: November 2019</t>
  </si>
  <si>
    <t>Spending through Prosperity Fund</t>
  </si>
  <si>
    <t>Total indicators</t>
  </si>
  <si>
    <t>Number of reviews</t>
  </si>
  <si>
    <t>Table C1. UK Net ODA 1970-2016 (£ millions)</t>
  </si>
  <si>
    <t>UK Net ODA, £m</t>
  </si>
  <si>
    <t>ODA:GNI ratio (%) Current methodology in given year</t>
  </si>
  <si>
    <r>
      <t>2015</t>
    </r>
    <r>
      <rPr>
        <vertAlign val="superscript"/>
        <sz val="10"/>
        <rFont val="Arial"/>
        <family val="2"/>
      </rPr>
      <t>R</t>
    </r>
  </si>
  <si>
    <r>
      <t>2016</t>
    </r>
    <r>
      <rPr>
        <vertAlign val="superscript"/>
        <sz val="10"/>
        <rFont val="Arial"/>
        <family val="2"/>
      </rPr>
      <t>R</t>
    </r>
  </si>
  <si>
    <r>
      <rPr>
        <vertAlign val="superscript"/>
        <sz val="8"/>
        <color theme="1"/>
        <rFont val="Arial"/>
        <family val="2"/>
      </rPr>
      <t>R</t>
    </r>
    <r>
      <rPr>
        <sz val="8"/>
        <color theme="1"/>
        <rFont val="Arial"/>
        <family val="2"/>
      </rPr>
      <t xml:space="preserve"> Figures for 2015 have been revised - see note on revisions in Statistics on International Development: 2017 . </t>
    </r>
  </si>
  <si>
    <t xml:space="preserve">Figures for 2016 have been revised following OECD DAC decision.  See background note 7.2 found with this link :
</t>
  </si>
  <si>
    <t xml:space="preserve">https://www.gov.uk/government/statistics/statistics-on-international-development-provisional-uk-aid-spend-2017 </t>
  </si>
  <si>
    <t>Last updated: 5 April 2018</t>
  </si>
  <si>
    <t xml:space="preserve">From https://www.gov.uk/government/statistics/statistics-on-international-development-provisional-uk-aid-spend-2017 </t>
  </si>
  <si>
    <t>Estimate based on ONS GNI data https://www.ons.gov.uk/economy/grossdomesticproductgdp/timeseries/abmz/ukea</t>
  </si>
  <si>
    <t>Total ODA spending 2010-2017 (£m)</t>
  </si>
  <si>
    <t>Total ODA spending 2010-2017 (£bn)</t>
  </si>
  <si>
    <t>Cumulative total</t>
  </si>
  <si>
    <t xml:space="preserve">Note: This sheet pulls information from hidden sheets, which contain original Statistics on Internatoinal Development from DFID. </t>
  </si>
  <si>
    <t>The UK’s approach to funding the UN humanitarian system</t>
  </si>
  <si>
    <t>The UK is a major funder of humanitarian responses, providing £1.56 billion in 2017-18.</t>
  </si>
  <si>
    <t>Spending directly evaluated (£m)</t>
  </si>
  <si>
    <t>DFID core funding to UN agencies examined 2017</t>
  </si>
  <si>
    <t>Spending directly evaluated</t>
  </si>
  <si>
    <t>DFID 
(11 reviews)</t>
  </si>
  <si>
    <t>Spending indirectly evaluated</t>
  </si>
  <si>
    <t>Lead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</si>
</sst>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164" formatCode="_-&quot;£&quot;* #,##0.00_-;\-&quot;£&quot;* #,##0.00_-;_-&quot;£&quot;* &quot;-&quot;??_-;_-@_-"/>
    <numFmt numFmtId="165" formatCode="_-* #,##0.00_-;\-* #,##0.00_-;_-* &quot;-&quot;??_-;_-@_-"/>
    <numFmt numFmtId="166" formatCode="0.0%"/>
    <numFmt numFmtId="167" formatCode="_-* #,##0_-;\-* #,##0_-;_-* &quot;-&quot;??_-;_-@_-"/>
    <numFmt numFmtId="168" formatCode="&quot;£&quot;#,##0"/>
    <numFmt numFmtId="169" formatCode="&quot;£&quot;#,##0.00"/>
    <numFmt numFmtId="170" formatCode="0.00_)"/>
    <numFmt numFmtId="171" formatCode="0.000000000000000%"/>
    <numFmt numFmtId="172" formatCode="&quot;£&quot;#,##0.0"/>
    <numFmt numFmtId="173" formatCode="0.0"/>
    <numFmt numFmtId="174" formatCode="0.00&quot; &quot;"/>
    <numFmt numFmtId="175" formatCode="0.0&quot; &quot;"/>
    <numFmt numFmtId="176" formatCode="#,##0.0"/>
    <numFmt numFmtId="177" formatCode="0&quot; &quot;"/>
    <numFmt numFmtId="178" formatCode="[=0]0;[&lt;1]&quot;~&quot;;#,##0.00"/>
    <numFmt numFmtId="179" formatCode="[=0]0.0;[&lt;1]&quot;~&quot;;#,##0.000"/>
    <numFmt numFmtId="180" formatCode="##\ ##0"/>
    <numFmt numFmtId="181" formatCode="[=0]0.0;[&lt;0.1]&quot;~&quot;;#,##0.0"/>
    <numFmt numFmtId="182" formatCode="&quot; &quot;#,##0.00&quot; &quot;;&quot; (&quot;#,##0.00&quot;)&quot;;&quot; -&quot;00&quot; &quot;;&quot; &quot;@&quot; &quot;"/>
    <numFmt numFmtId="183" formatCode="&quot; &quot;#,##0.00&quot; &quot;;&quot;-&quot;#,##0.00&quot; &quot;;&quot; -&quot;00&quot; &quot;;&quot; &quot;@&quot; &quot;"/>
    <numFmt numFmtId="184" formatCode="&quot; &quot;[$£-809]#,##0.00&quot; &quot;;&quot;-&quot;[$£-809]#,##0.00&quot; &quot;;&quot; &quot;[$£-809]&quot;-&quot;00&quot; &quot;;&quot; &quot;@&quot; &quot;"/>
    <numFmt numFmtId="185" formatCode="&quot; &quot;[$£-809]#,##0.00&quot; &quot;;&quot; &quot;[$£-809]&quot;(&quot;#,##0.00&quot;)&quot;;&quot; &quot;[$£-809]&quot;-&quot;00&quot; &quot;;&quot; &quot;@&quot; &quot;"/>
    <numFmt numFmtId="186" formatCode="_-* #,##0.00\ _k_r_-;\-* #,##0.00\ _k_r_-;_-* &quot;-&quot;??\ _k_r_-;_-@_-"/>
  </numFmts>
  <fonts count="73" x14ac:knownFonts="1">
    <font>
      <sz val="10"/>
      <color rgb="FF000000"/>
      <name val="Arial"/>
    </font>
    <font>
      <sz val="11"/>
      <color theme="1"/>
      <name val="Calibri"/>
      <family val="2"/>
      <scheme val="minor"/>
    </font>
    <font>
      <sz val="11"/>
      <color theme="1"/>
      <name val="Calibri"/>
      <family val="2"/>
      <scheme val="minor"/>
    </font>
    <font>
      <b/>
      <sz val="10"/>
      <color rgb="FFFFFFFF"/>
      <name val="Calibri"/>
      <family val="2"/>
    </font>
    <font>
      <b/>
      <sz val="10"/>
      <name val="Arial"/>
      <family val="2"/>
    </font>
    <font>
      <sz val="10"/>
      <name val="Arial"/>
      <family val="2"/>
    </font>
    <font>
      <sz val="10"/>
      <name val="Calibri"/>
      <family val="2"/>
    </font>
    <font>
      <sz val="10"/>
      <color rgb="FF000000"/>
      <name val="Calibri"/>
      <family val="2"/>
    </font>
    <font>
      <sz val="8"/>
      <name val="Arial"/>
      <family val="2"/>
    </font>
    <font>
      <sz val="8"/>
      <color rgb="FF000000"/>
      <name val="Arial"/>
      <family val="2"/>
    </font>
    <font>
      <b/>
      <sz val="10"/>
      <name val="Arial"/>
      <family val="2"/>
    </font>
    <font>
      <sz val="10"/>
      <name val="Arial"/>
      <family val="2"/>
    </font>
    <font>
      <sz val="10"/>
      <color rgb="FF000000"/>
      <name val="Arial"/>
      <family val="2"/>
    </font>
    <font>
      <sz val="11"/>
      <color rgb="FF000000"/>
      <name val="Calibri"/>
      <family val="2"/>
    </font>
    <font>
      <i/>
      <sz val="10"/>
      <color rgb="FF000000"/>
      <name val="Arial"/>
      <family val="2"/>
    </font>
    <font>
      <i/>
      <sz val="10"/>
      <name val="Arial"/>
      <family val="2"/>
    </font>
    <font>
      <b/>
      <sz val="10"/>
      <color rgb="FF000000"/>
      <name val="Arial"/>
      <family val="2"/>
    </font>
    <font>
      <sz val="23"/>
      <name val="Arial Bold"/>
      <family val="2"/>
    </font>
    <font>
      <sz val="10"/>
      <name val="Arial Bold"/>
      <family val="2"/>
    </font>
    <font>
      <sz val="9"/>
      <name val="Arial Bold"/>
      <family val="2"/>
    </font>
    <font>
      <sz val="9"/>
      <name val="Arial"/>
      <family val="2"/>
    </font>
    <font>
      <sz val="10"/>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2"/>
      <name val="Helv"/>
    </font>
    <font>
      <u/>
      <sz val="12"/>
      <color theme="10"/>
      <name val="Helv"/>
    </font>
    <font>
      <sz val="8"/>
      <name val="Times"/>
    </font>
    <font>
      <sz val="10"/>
      <color rgb="FF9C0006"/>
      <name val="Arial"/>
      <family val="2"/>
    </font>
    <font>
      <u/>
      <sz val="10"/>
      <color indexed="12"/>
      <name val="Arial"/>
      <family val="2"/>
    </font>
    <font>
      <u/>
      <sz val="10"/>
      <color theme="10"/>
      <name val="Arial"/>
      <family val="2"/>
    </font>
    <font>
      <sz val="8"/>
      <color theme="1"/>
      <name val="Verdana"/>
      <family val="2"/>
    </font>
    <font>
      <sz val="11"/>
      <color theme="1"/>
      <name val="Calibri"/>
      <family val="2"/>
    </font>
    <font>
      <vertAlign val="superscript"/>
      <sz val="10"/>
      <name val="Arial"/>
      <family val="2"/>
    </font>
    <font>
      <u/>
      <sz val="10"/>
      <color rgb="FF0000FF"/>
      <name val="Arial"/>
      <family val="2"/>
    </font>
    <font>
      <sz val="10"/>
      <color rgb="FF000000"/>
      <name val="Arial"/>
    </font>
    <font>
      <b/>
      <sz val="10"/>
      <color theme="0"/>
      <name val="Calibri"/>
      <family val="2"/>
    </font>
    <font>
      <sz val="9"/>
      <color rgb="FF000000"/>
      <name val="Calibri"/>
      <family val="2"/>
    </font>
    <font>
      <sz val="10"/>
      <color theme="1"/>
      <name val="Calibri"/>
      <family val="2"/>
    </font>
    <font>
      <sz val="10"/>
      <name val="Arial"/>
    </font>
    <font>
      <sz val="12"/>
      <color rgb="FF000000"/>
      <name val="Helv"/>
    </font>
    <font>
      <sz val="6"/>
      <color rgb="FF000000"/>
      <name val="Arial"/>
      <family val="2"/>
    </font>
    <font>
      <b/>
      <sz val="16"/>
      <color rgb="FF000000"/>
      <name val="Arial"/>
      <family val="2"/>
    </font>
    <font>
      <sz val="11"/>
      <color rgb="FF000000"/>
      <name val="Arial"/>
      <family val="2"/>
    </font>
    <font>
      <sz val="9"/>
      <color rgb="FF000000"/>
      <name val="Arial"/>
      <family val="2"/>
    </font>
    <font>
      <u/>
      <sz val="8"/>
      <color rgb="FF0000FF"/>
      <name val="Arial"/>
      <family val="2"/>
    </font>
    <font>
      <u/>
      <sz val="12"/>
      <color rgb="FF0000FF"/>
      <name val="Helv"/>
    </font>
    <font>
      <b/>
      <sz val="16"/>
      <name val="Arial"/>
      <family val="2"/>
    </font>
    <font>
      <sz val="8"/>
      <color theme="1"/>
      <name val="Arial"/>
      <family val="2"/>
    </font>
    <font>
      <b/>
      <vertAlign val="superscript"/>
      <sz val="16"/>
      <name val="Arial"/>
      <family val="2"/>
    </font>
    <font>
      <b/>
      <sz val="14"/>
      <color theme="1"/>
      <name val="Arial"/>
      <family val="2"/>
    </font>
    <font>
      <sz val="8"/>
      <color theme="1"/>
      <name val="Calibri"/>
      <family val="2"/>
      <scheme val="minor"/>
    </font>
    <font>
      <u/>
      <sz val="11"/>
      <color theme="10"/>
      <name val="Calibri"/>
      <family val="2"/>
      <scheme val="minor"/>
    </font>
    <font>
      <sz val="8"/>
      <color rgb="FF000000"/>
      <name val="Times"/>
    </font>
    <font>
      <sz val="8"/>
      <color rgb="FF000000"/>
      <name val="Verdana"/>
      <family val="2"/>
    </font>
    <font>
      <sz val="8"/>
      <color rgb="FF000000"/>
      <name val="Calibri"/>
      <family val="2"/>
    </font>
    <font>
      <sz val="11"/>
      <color indexed="8"/>
      <name val="Calibri"/>
      <family val="2"/>
      <charset val="238"/>
    </font>
    <font>
      <sz val="12"/>
      <color theme="1"/>
      <name val="Calibri"/>
      <family val="2"/>
      <scheme val="minor"/>
    </font>
    <font>
      <vertAlign val="superscript"/>
      <sz val="8"/>
      <color theme="1"/>
      <name val="Arial"/>
      <family val="2"/>
    </font>
  </fonts>
  <fills count="44">
    <fill>
      <patternFill patternType="none"/>
    </fill>
    <fill>
      <patternFill patternType="gray125"/>
    </fill>
    <fill>
      <patternFill patternType="solid">
        <fgColor rgb="FFFFFFFF"/>
        <bgColor rgb="FFFFFFFF"/>
      </patternFill>
    </fill>
    <fill>
      <patternFill patternType="solid">
        <fgColor rgb="FFE8F0FE"/>
        <bgColor rgb="FFE8F0FE"/>
      </patternFill>
    </fill>
    <fill>
      <patternFill patternType="solid">
        <fgColor rgb="FF95B3D7"/>
        <bgColor rgb="FF95B3D7"/>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FFFFFF"/>
      </patternFill>
    </fill>
    <fill>
      <patternFill patternType="solid">
        <fgColor rgb="FFFBFF65"/>
        <bgColor indexed="64"/>
      </patternFill>
    </fill>
    <fill>
      <patternFill patternType="solid">
        <fgColor rgb="FFFFC081"/>
        <bgColor indexed="64"/>
      </patternFill>
    </fill>
    <fill>
      <patternFill patternType="solid">
        <fgColor rgb="FFFF9393"/>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79998168889431442"/>
        <bgColor indexed="64"/>
      </patternFill>
    </fill>
  </fills>
  <borders count="37">
    <border>
      <left/>
      <right/>
      <top/>
      <bottom/>
      <diagonal/>
    </border>
    <border>
      <left style="thin">
        <color rgb="FFB7B7B7"/>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rgb="FFB7B7B7"/>
      </left>
      <right/>
      <top style="medium">
        <color indexed="64"/>
      </top>
      <bottom style="medium">
        <color indexed="64"/>
      </bottom>
      <diagonal/>
    </border>
    <border>
      <left/>
      <right/>
      <top/>
      <bottom style="thin">
        <color theme="2" tint="-9.9978637043366805E-2"/>
      </bottom>
      <diagonal/>
    </border>
    <border>
      <left/>
      <right/>
      <top/>
      <bottom style="medium">
        <color rgb="FF000000"/>
      </bottom>
      <diagonal/>
    </border>
    <border>
      <left/>
      <right/>
      <top style="thin">
        <color rgb="FF000000"/>
      </top>
      <bottom style="medium">
        <color rgb="FF000000"/>
      </bottom>
      <diagonal/>
    </border>
  </borders>
  <cellStyleXfs count="288">
    <xf numFmtId="0" fontId="0" fillId="0" borderId="0"/>
    <xf numFmtId="0" fontId="5" fillId="0" borderId="0"/>
    <xf numFmtId="165" fontId="21" fillId="0" borderId="0" applyFon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26" applyNumberFormat="0" applyAlignment="0" applyProtection="0"/>
    <xf numFmtId="0" fontId="30" fillId="9" borderId="27" applyNumberFormat="0" applyAlignment="0" applyProtection="0"/>
    <xf numFmtId="0" fontId="31" fillId="9" borderId="26" applyNumberFormat="0" applyAlignment="0" applyProtection="0"/>
    <xf numFmtId="0" fontId="32" fillId="0" borderId="28" applyNumberFormat="0" applyFill="0" applyAlignment="0" applyProtection="0"/>
    <xf numFmtId="0" fontId="33" fillId="10" borderId="2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31" applyNumberFormat="0" applyFill="0" applyAlignment="0" applyProtection="0"/>
    <xf numFmtId="0" fontId="3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170" fontId="39" fillId="0" borderId="0"/>
    <xf numFmtId="0" fontId="2" fillId="0" borderId="0"/>
    <xf numFmtId="9" fontId="2" fillId="0" borderId="0" applyFont="0" applyFill="0" applyBorder="0" applyAlignment="0" applyProtection="0"/>
    <xf numFmtId="165" fontId="39" fillId="0" borderId="0" applyFont="0" applyFill="0" applyBorder="0" applyAlignment="0" applyProtection="0"/>
    <xf numFmtId="9" fontId="39" fillId="0" borderId="0" applyFont="0" applyFill="0" applyBorder="0" applyAlignment="0" applyProtection="0"/>
    <xf numFmtId="170" fontId="40" fillId="0" borderId="0" applyNumberFormat="0" applyFill="0" applyBorder="0" applyAlignment="0" applyProtection="0"/>
    <xf numFmtId="0" fontId="39" fillId="0" borderId="0"/>
    <xf numFmtId="0" fontId="5" fillId="0" borderId="0"/>
    <xf numFmtId="0" fontId="41" fillId="0" borderId="0"/>
    <xf numFmtId="0" fontId="39" fillId="0" borderId="0"/>
    <xf numFmtId="0" fontId="42" fillId="6"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9" fillId="0" borderId="0" applyFon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170" fontId="39" fillId="0" borderId="0"/>
    <xf numFmtId="0" fontId="2" fillId="0" borderId="0"/>
    <xf numFmtId="0" fontId="38" fillId="0" borderId="0"/>
    <xf numFmtId="0" fontId="45" fillId="0" borderId="0"/>
    <xf numFmtId="0" fontId="5" fillId="0" borderId="0"/>
    <xf numFmtId="0" fontId="5" fillId="0" borderId="0"/>
    <xf numFmtId="0" fontId="2" fillId="0" borderId="0"/>
    <xf numFmtId="0" fontId="2" fillId="0" borderId="0"/>
    <xf numFmtId="0" fontId="45" fillId="0" borderId="0"/>
    <xf numFmtId="0" fontId="2" fillId="0" borderId="0"/>
    <xf numFmtId="0" fontId="5" fillId="0" borderId="0"/>
    <xf numFmtId="0" fontId="38" fillId="0" borderId="0"/>
    <xf numFmtId="0" fontId="38" fillId="0" borderId="0"/>
    <xf numFmtId="0" fontId="2" fillId="0" borderId="0"/>
    <xf numFmtId="0" fontId="2" fillId="0" borderId="0"/>
    <xf numFmtId="0" fontId="5" fillId="0" borderId="0"/>
    <xf numFmtId="0" fontId="5" fillId="0" borderId="0"/>
    <xf numFmtId="0" fontId="5" fillId="0" borderId="0"/>
    <xf numFmtId="0" fontId="45" fillId="0" borderId="0"/>
    <xf numFmtId="0" fontId="45" fillId="0" borderId="0"/>
    <xf numFmtId="0" fontId="45" fillId="0" borderId="0"/>
    <xf numFmtId="0" fontId="5" fillId="0" borderId="0"/>
    <xf numFmtId="0" fontId="46" fillId="0" borderId="0"/>
    <xf numFmtId="0" fontId="2" fillId="0" borderId="0"/>
    <xf numFmtId="0" fontId="2" fillId="0" borderId="0"/>
    <xf numFmtId="170" fontId="39" fillId="0" borderId="0"/>
    <xf numFmtId="0" fontId="2" fillId="0" borderId="0"/>
    <xf numFmtId="0" fontId="2"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0" fontId="5" fillId="0" borderId="0"/>
    <xf numFmtId="0" fontId="48" fillId="0" borderId="0" applyNumberFormat="0" applyFill="0" applyBorder="0" applyAlignment="0" applyProtection="0"/>
    <xf numFmtId="9" fontId="2" fillId="0" borderId="0" applyFont="0" applyFill="0" applyBorder="0" applyAlignment="0" applyProtection="0"/>
    <xf numFmtId="0" fontId="2" fillId="11" borderId="30" applyNumberFormat="0" applyFont="0" applyAlignment="0" applyProtection="0"/>
    <xf numFmtId="9" fontId="49" fillId="0" borderId="0" applyFont="0" applyFill="0" applyBorder="0" applyAlignment="0" applyProtection="0"/>
    <xf numFmtId="0" fontId="13" fillId="0" borderId="0"/>
    <xf numFmtId="9" fontId="13" fillId="0" borderId="0" applyFont="0" applyFill="0" applyBorder="0" applyAlignment="0" applyProtection="0"/>
    <xf numFmtId="174" fontId="60" fillId="0" borderId="0" applyFill="0" applyBorder="0" applyAlignment="0" applyProtection="0"/>
    <xf numFmtId="0" fontId="13" fillId="0" borderId="0" applyNumberFormat="0" applyFont="0" applyBorder="0" applyProtection="0"/>
    <xf numFmtId="174" fontId="54" fillId="0" borderId="0" applyBorder="0" applyProtection="0"/>
    <xf numFmtId="0" fontId="13" fillId="0" borderId="0" applyNumberFormat="0" applyFont="0" applyBorder="0" applyProtection="0"/>
    <xf numFmtId="9" fontId="13"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182" fontId="13" fillId="0" borderId="0" applyFont="0" applyFill="0" applyBorder="0" applyAlignment="0" applyProtection="0"/>
    <xf numFmtId="165" fontId="1" fillId="0" borderId="0" applyFont="0" applyFill="0" applyBorder="0" applyAlignment="0" applyProtection="0"/>
    <xf numFmtId="0" fontId="67" fillId="0" borderId="0" applyNumberFormat="0" applyBorder="0" applyProtection="0"/>
    <xf numFmtId="0" fontId="5" fillId="0" borderId="0"/>
    <xf numFmtId="0" fontId="12" fillId="0" borderId="0" applyNumberFormat="0" applyBorder="0" applyProtection="0"/>
    <xf numFmtId="0" fontId="54" fillId="0" borderId="0" applyNumberFormat="0" applyBorder="0" applyProtection="0"/>
    <xf numFmtId="0" fontId="5" fillId="0" borderId="0"/>
    <xf numFmtId="0" fontId="5" fillId="0" borderId="0"/>
    <xf numFmtId="0" fontId="67" fillId="0" borderId="0" applyNumberFormat="0" applyBorder="0" applyProtection="0"/>
    <xf numFmtId="165" fontId="1" fillId="0" borderId="0" applyFont="0" applyFill="0" applyBorder="0" applyAlignment="0" applyProtection="0"/>
    <xf numFmtId="165" fontId="1" fillId="0" borderId="0" applyFont="0" applyFill="0" applyBorder="0" applyAlignment="0" applyProtection="0"/>
    <xf numFmtId="182" fontId="13" fillId="0" borderId="0" applyFont="0" applyFill="0" applyBorder="0" applyAlignment="0" applyProtection="0"/>
    <xf numFmtId="165" fontId="5" fillId="0" borderId="0" applyFont="0" applyFill="0" applyBorder="0" applyAlignment="0" applyProtection="0"/>
    <xf numFmtId="183" fontId="13"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65" fontId="1" fillId="0" borderId="0" applyFont="0" applyFill="0" applyBorder="0" applyAlignment="0" applyProtection="0"/>
    <xf numFmtId="182" fontId="13" fillId="0" borderId="0" applyFont="0" applyFill="0" applyBorder="0" applyAlignment="0" applyProtection="0"/>
    <xf numFmtId="165" fontId="5" fillId="0" borderId="0" applyFont="0" applyFill="0" applyBorder="0" applyAlignment="0" applyProtection="0"/>
    <xf numFmtId="183" fontId="13" fillId="0" borderId="0" applyFont="0" applyFill="0" applyBorder="0" applyAlignment="0" applyProtection="0"/>
    <xf numFmtId="165" fontId="1" fillId="0" borderId="0" applyFont="0" applyFill="0" applyBorder="0" applyAlignment="0" applyProtection="0"/>
    <xf numFmtId="182" fontId="13" fillId="0" borderId="0" applyFont="0" applyFill="0" applyBorder="0" applyAlignment="0" applyProtection="0"/>
    <xf numFmtId="165" fontId="5" fillId="0" borderId="0" applyFont="0" applyFill="0" applyBorder="0" applyAlignment="0" applyProtection="0"/>
    <xf numFmtId="183" fontId="13" fillId="0" borderId="0" applyFont="0" applyFill="0" applyBorder="0" applyAlignment="0" applyProtection="0"/>
    <xf numFmtId="165" fontId="1" fillId="0" borderId="0" applyFont="0" applyFill="0" applyBorder="0" applyAlignment="0" applyProtection="0"/>
    <xf numFmtId="182" fontId="13"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83" fontId="13" fillId="0" borderId="0" applyFont="0" applyFill="0" applyBorder="0" applyAlignment="0" applyProtection="0"/>
    <xf numFmtId="182" fontId="13" fillId="0" borderId="0" applyFont="0" applyFill="0" applyBorder="0" applyAlignment="0" applyProtection="0"/>
    <xf numFmtId="165" fontId="5" fillId="0" borderId="0" applyFont="0" applyFill="0" applyBorder="0" applyAlignment="0" applyProtection="0"/>
    <xf numFmtId="165" fontId="38" fillId="0" borderId="0" applyFont="0" applyFill="0" applyBorder="0" applyAlignment="0" applyProtection="0"/>
    <xf numFmtId="164" fontId="5" fillId="0" borderId="0" applyFont="0" applyFill="0" applyBorder="0" applyAlignment="0" applyProtection="0"/>
    <xf numFmtId="184" fontId="13" fillId="0" borderId="0" applyFont="0" applyFill="0" applyBorder="0" applyAlignment="0" applyProtection="0"/>
    <xf numFmtId="185" fontId="13" fillId="0" borderId="0" applyFont="0" applyFill="0" applyBorder="0" applyAlignment="0" applyProtection="0"/>
    <xf numFmtId="184" fontId="13" fillId="0" borderId="0" applyFont="0" applyFill="0" applyBorder="0" applyAlignment="0" applyProtection="0"/>
    <xf numFmtId="184" fontId="1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3" fillId="0" borderId="0" applyNumberFormat="0" applyFill="0" applyBorder="0" applyAlignment="0" applyProtection="0">
      <alignment vertical="top"/>
      <protection locked="0"/>
    </xf>
    <xf numFmtId="0" fontId="48"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8" fillId="0" borderId="0" applyNumberFormat="0" applyFill="0" applyBorder="0" applyAlignment="0" applyProtection="0"/>
    <xf numFmtId="165" fontId="1" fillId="0" borderId="0" applyFont="0" applyFill="0" applyBorder="0" applyAlignment="0" applyProtection="0"/>
    <xf numFmtId="0" fontId="66" fillId="0" borderId="0" applyNumberFormat="0" applyFill="0" applyBorder="0" applyAlignment="0" applyProtection="0"/>
    <xf numFmtId="0" fontId="13" fillId="0" borderId="0" applyNumberFormat="0" applyFont="0" applyBorder="0" applyProtection="0"/>
    <xf numFmtId="0" fontId="13" fillId="0" borderId="0" applyNumberFormat="0" applyFont="0" applyBorder="0" applyProtection="0"/>
    <xf numFmtId="0" fontId="13" fillId="0" borderId="0"/>
    <xf numFmtId="0" fontId="5" fillId="0" borderId="0"/>
    <xf numFmtId="0" fontId="5" fillId="0" borderId="0"/>
    <xf numFmtId="165" fontId="1" fillId="0" borderId="0" applyFont="0" applyFill="0" applyBorder="0" applyAlignment="0" applyProtection="0"/>
    <xf numFmtId="165" fontId="1" fillId="0" borderId="0" applyFont="0" applyFill="0" applyBorder="0" applyAlignment="0" applyProtection="0"/>
    <xf numFmtId="0" fontId="12" fillId="0" borderId="0" applyNumberFormat="0" applyBorder="0" applyProtection="0"/>
    <xf numFmtId="0" fontId="12" fillId="0" borderId="0" applyNumberFormat="0" applyBorder="0" applyProtection="0"/>
    <xf numFmtId="0" fontId="13" fillId="0" borderId="0" applyNumberFormat="0" applyFont="0" applyBorder="0" applyProtection="0"/>
    <xf numFmtId="0" fontId="5" fillId="0" borderId="0"/>
    <xf numFmtId="0" fontId="13" fillId="0" borderId="0" applyNumberFormat="0" applyFont="0" applyBorder="0" applyProtection="0"/>
    <xf numFmtId="0" fontId="68" fillId="0" borderId="0" applyNumberFormat="0" applyBorder="0" applyProtection="0"/>
    <xf numFmtId="0" fontId="5" fillId="0" borderId="0"/>
    <xf numFmtId="0" fontId="5" fillId="0" borderId="0"/>
    <xf numFmtId="0" fontId="1" fillId="0" borderId="0"/>
    <xf numFmtId="0" fontId="12" fillId="0" borderId="0" applyNumberFormat="0" applyBorder="0" applyProtection="0"/>
    <xf numFmtId="0" fontId="1" fillId="0" borderId="0"/>
    <xf numFmtId="0" fontId="13" fillId="0" borderId="0" applyNumberFormat="0" applyFont="0" applyBorder="0" applyProtection="0"/>
    <xf numFmtId="0" fontId="38" fillId="0" borderId="0"/>
    <xf numFmtId="0" fontId="12" fillId="0" borderId="0" applyNumberFormat="0" applyBorder="0" applyProtection="0"/>
    <xf numFmtId="0" fontId="1" fillId="0" borderId="0"/>
    <xf numFmtId="0" fontId="12" fillId="0" borderId="0" applyNumberFormat="0" applyBorder="0" applyProtection="0"/>
    <xf numFmtId="0" fontId="12" fillId="0" borderId="0" applyNumberFormat="0" applyBorder="0" applyProtection="0"/>
    <xf numFmtId="0" fontId="38" fillId="0" borderId="0"/>
    <xf numFmtId="0" fontId="13" fillId="0" borderId="0" applyNumberFormat="0" applyFont="0" applyBorder="0" applyProtection="0"/>
    <xf numFmtId="0" fontId="12" fillId="0" borderId="0" applyNumberFormat="0" applyBorder="0" applyProtection="0"/>
    <xf numFmtId="0" fontId="12" fillId="0" borderId="0" applyNumberFormat="0" applyBorder="0" applyProtection="0"/>
    <xf numFmtId="0" fontId="5" fillId="0" borderId="0"/>
    <xf numFmtId="0" fontId="5" fillId="0" borderId="0"/>
    <xf numFmtId="0" fontId="65" fillId="0" borderId="0"/>
    <xf numFmtId="0" fontId="5" fillId="0" borderId="0"/>
    <xf numFmtId="0" fontId="68" fillId="0" borderId="0" applyNumberFormat="0" applyBorder="0" applyProtection="0"/>
    <xf numFmtId="0" fontId="5" fillId="0" borderId="0"/>
    <xf numFmtId="0" fontId="12" fillId="0" borderId="0" applyNumberFormat="0" applyBorder="0" applyProtection="0"/>
    <xf numFmtId="0" fontId="45" fillId="0" borderId="0"/>
    <xf numFmtId="0" fontId="68" fillId="0" borderId="0" applyNumberFormat="0" applyBorder="0" applyProtection="0"/>
    <xf numFmtId="0" fontId="65" fillId="0" borderId="0"/>
    <xf numFmtId="0" fontId="45" fillId="0" borderId="0"/>
    <xf numFmtId="0" fontId="68" fillId="0" borderId="0" applyNumberFormat="0" applyBorder="0" applyProtection="0"/>
    <xf numFmtId="0" fontId="69" fillId="0" borderId="0" applyNumberFormat="0" applyBorder="0" applyProtection="0"/>
    <xf numFmtId="0" fontId="5" fillId="0" borderId="0"/>
    <xf numFmtId="0" fontId="5" fillId="0" borderId="0"/>
    <xf numFmtId="0" fontId="13" fillId="0" borderId="0" applyNumberFormat="0" applyFont="0" applyBorder="0" applyProtection="0"/>
    <xf numFmtId="0" fontId="13" fillId="0" borderId="0"/>
    <xf numFmtId="0" fontId="46" fillId="0" borderId="0"/>
    <xf numFmtId="0" fontId="12" fillId="0" borderId="0" applyNumberFormat="0" applyBorder="0" applyProtection="0"/>
    <xf numFmtId="170" fontId="39" fillId="0" borderId="0"/>
    <xf numFmtId="0" fontId="5" fillId="0" borderId="0"/>
    <xf numFmtId="0" fontId="5" fillId="0" borderId="0"/>
    <xf numFmtId="0" fontId="13" fillId="0" borderId="0" applyNumberFormat="0" applyFont="0" applyBorder="0" applyProtection="0"/>
    <xf numFmtId="0" fontId="5" fillId="0" borderId="0"/>
    <xf numFmtId="0" fontId="12" fillId="0" borderId="0" applyNumberFormat="0" applyBorder="0" applyProtection="0"/>
    <xf numFmtId="0" fontId="13" fillId="0" borderId="0" applyNumberFormat="0" applyFont="0" applyBorder="0" applyProtection="0"/>
    <xf numFmtId="0" fontId="1" fillId="0" borderId="0"/>
    <xf numFmtId="0" fontId="5" fillId="0" borderId="0"/>
    <xf numFmtId="9" fontId="1" fillId="0" borderId="0" applyFont="0" applyFill="0" applyBorder="0" applyAlignment="0" applyProtection="0"/>
    <xf numFmtId="0" fontId="70"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8" fillId="0" borderId="0" applyFont="0" applyFill="0" applyBorder="0" applyAlignment="0" applyProtection="0"/>
    <xf numFmtId="186" fontId="71" fillId="0" borderId="0" applyFont="0" applyFill="0" applyBorder="0" applyAlignment="0" applyProtection="0"/>
    <xf numFmtId="165" fontId="39" fillId="0" borderId="0" applyFont="0" applyFill="0" applyBorder="0" applyAlignment="0" applyProtection="0"/>
    <xf numFmtId="165" fontId="1" fillId="0" borderId="0" applyFont="0" applyFill="0" applyBorder="0" applyAlignment="0" applyProtection="0"/>
    <xf numFmtId="164" fontId="5" fillId="0" borderId="0" applyFont="0" applyFill="0" applyBorder="0" applyAlignment="0" applyProtection="0"/>
    <xf numFmtId="164" fontId="3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04">
    <xf numFmtId="0" fontId="0" fillId="0" borderId="0" xfId="0" applyFont="1" applyAlignment="1"/>
    <xf numFmtId="0" fontId="5" fillId="0" borderId="0" xfId="0" applyFont="1" applyAlignment="1"/>
    <xf numFmtId="0" fontId="6" fillId="3" borderId="0" xfId="0" applyFont="1" applyFill="1" applyAlignment="1"/>
    <xf numFmtId="0" fontId="4" fillId="0" borderId="0" xfId="0" applyFont="1" applyAlignment="1"/>
    <xf numFmtId="0" fontId="5" fillId="0" borderId="0" xfId="0" applyFont="1" applyAlignment="1"/>
    <xf numFmtId="0" fontId="10" fillId="2" borderId="3" xfId="0" applyFont="1" applyFill="1" applyBorder="1" applyAlignment="1">
      <alignment horizontal="left"/>
    </xf>
    <xf numFmtId="0" fontId="10" fillId="2" borderId="4" xfId="0" applyFont="1" applyFill="1" applyBorder="1" applyAlignment="1">
      <alignment horizontal="left"/>
    </xf>
    <xf numFmtId="0" fontId="10" fillId="2" borderId="5" xfId="0" applyFont="1" applyFill="1" applyBorder="1" applyAlignment="1">
      <alignment horizontal="left"/>
    </xf>
    <xf numFmtId="0" fontId="10" fillId="2" borderId="0" xfId="0" applyFont="1" applyFill="1" applyAlignment="1">
      <alignment horizontal="left"/>
    </xf>
    <xf numFmtId="0" fontId="5" fillId="2" borderId="0" xfId="0" applyFont="1" applyFill="1"/>
    <xf numFmtId="0" fontId="10" fillId="4" borderId="0" xfId="0" applyFont="1" applyFill="1" applyAlignment="1">
      <alignment horizontal="left"/>
    </xf>
    <xf numFmtId="0" fontId="10" fillId="4" borderId="0" xfId="0" applyFont="1" applyFill="1" applyAlignment="1">
      <alignment horizontal="right"/>
    </xf>
    <xf numFmtId="3" fontId="11" fillId="4" borderId="5" xfId="0" applyNumberFormat="1" applyFont="1" applyFill="1" applyBorder="1" applyAlignment="1">
      <alignment horizontal="right"/>
    </xf>
    <xf numFmtId="0" fontId="14" fillId="2" borderId="6" xfId="0" applyFont="1" applyFill="1" applyBorder="1" applyAlignment="1">
      <alignment horizontal="right"/>
    </xf>
    <xf numFmtId="0" fontId="12" fillId="2" borderId="0" xfId="0" applyFont="1" applyFill="1" applyAlignment="1">
      <alignment horizontal="left"/>
    </xf>
    <xf numFmtId="0" fontId="12" fillId="2" borderId="0" xfId="0" applyFont="1" applyFill="1" applyAlignment="1">
      <alignment horizontal="right"/>
    </xf>
    <xf numFmtId="0" fontId="12" fillId="2" borderId="7" xfId="0" applyFont="1" applyFill="1" applyBorder="1" applyAlignment="1">
      <alignment horizontal="right"/>
    </xf>
    <xf numFmtId="0" fontId="15" fillId="2" borderId="0" xfId="0" applyFont="1" applyFill="1" applyAlignment="1">
      <alignment horizontal="right"/>
    </xf>
    <xf numFmtId="0" fontId="15" fillId="2" borderId="6" xfId="0" applyFont="1" applyFill="1" applyBorder="1" applyAlignment="1">
      <alignment horizontal="right"/>
    </xf>
    <xf numFmtId="0" fontId="11" fillId="2" borderId="0" xfId="0" applyFont="1" applyFill="1" applyAlignment="1">
      <alignment horizontal="left"/>
    </xf>
    <xf numFmtId="0" fontId="11" fillId="2" borderId="0" xfId="0" applyFont="1" applyFill="1" applyAlignment="1">
      <alignment horizontal="right"/>
    </xf>
    <xf numFmtId="0" fontId="11" fillId="2" borderId="7" xfId="0" applyFont="1" applyFill="1" applyBorder="1" applyAlignment="1">
      <alignment horizontal="right"/>
    </xf>
    <xf numFmtId="0" fontId="16" fillId="2" borderId="6" xfId="0" applyFont="1" applyFill="1" applyBorder="1" applyAlignment="1">
      <alignment horizontal="left"/>
    </xf>
    <xf numFmtId="0" fontId="12" fillId="2" borderId="0" xfId="0" applyFont="1" applyFill="1" applyAlignment="1"/>
    <xf numFmtId="0" fontId="13" fillId="2" borderId="0" xfId="0" applyFont="1" applyFill="1" applyAlignment="1">
      <alignment horizontal="right"/>
    </xf>
    <xf numFmtId="0" fontId="12" fillId="2" borderId="0" xfId="0" applyFont="1" applyFill="1" applyAlignment="1">
      <alignment horizontal="right"/>
    </xf>
    <xf numFmtId="0" fontId="12" fillId="2" borderId="7" xfId="0" applyFont="1" applyFill="1" applyBorder="1" applyAlignment="1">
      <alignment horizontal="right"/>
    </xf>
    <xf numFmtId="0" fontId="10" fillId="2" borderId="0" xfId="0" applyFont="1" applyFill="1" applyAlignment="1">
      <alignment horizontal="left"/>
    </xf>
    <xf numFmtId="0" fontId="10" fillId="2" borderId="6" xfId="0" applyFont="1" applyFill="1" applyBorder="1" applyAlignment="1">
      <alignment horizontal="left"/>
    </xf>
    <xf numFmtId="0" fontId="11" fillId="2" borderId="0" xfId="0" applyFont="1" applyFill="1" applyAlignment="1"/>
    <xf numFmtId="0" fontId="11" fillId="2" borderId="0" xfId="0" applyFont="1" applyFill="1" applyAlignment="1">
      <alignment horizontal="right"/>
    </xf>
    <xf numFmtId="0" fontId="11" fillId="2" borderId="0" xfId="0" applyFont="1" applyFill="1" applyAlignment="1">
      <alignment horizontal="right"/>
    </xf>
    <xf numFmtId="0" fontId="11" fillId="2" borderId="7" xfId="0" applyFont="1" applyFill="1" applyBorder="1" applyAlignment="1">
      <alignment horizontal="right"/>
    </xf>
    <xf numFmtId="0" fontId="11" fillId="0" borderId="0" xfId="0" applyFont="1" applyAlignment="1"/>
    <xf numFmtId="0" fontId="11" fillId="0" borderId="7" xfId="0" applyFont="1" applyBorder="1" applyAlignment="1">
      <alignment horizontal="right"/>
    </xf>
    <xf numFmtId="0" fontId="12" fillId="2" borderId="6" xfId="0" applyFont="1" applyFill="1" applyBorder="1" applyAlignment="1"/>
    <xf numFmtId="0" fontId="12" fillId="2" borderId="0" xfId="0" applyFont="1" applyFill="1" applyAlignment="1"/>
    <xf numFmtId="0" fontId="12" fillId="2" borderId="0" xfId="0" applyFont="1" applyFill="1" applyAlignment="1">
      <alignment horizontal="right"/>
    </xf>
    <xf numFmtId="0" fontId="12" fillId="2" borderId="7" xfId="0" applyFont="1" applyFill="1" applyBorder="1" applyAlignment="1">
      <alignment horizontal="right"/>
    </xf>
    <xf numFmtId="0" fontId="11" fillId="2" borderId="0" xfId="0" applyFont="1" applyFill="1" applyAlignment="1"/>
    <xf numFmtId="0" fontId="11" fillId="2" borderId="6" xfId="0" applyFont="1" applyFill="1" applyBorder="1" applyAlignment="1"/>
    <xf numFmtId="0" fontId="11" fillId="2" borderId="0" xfId="0" applyFont="1" applyFill="1" applyAlignment="1">
      <alignment horizontal="right"/>
    </xf>
    <xf numFmtId="0" fontId="11" fillId="2" borderId="7" xfId="0" applyFont="1" applyFill="1" applyBorder="1" applyAlignment="1">
      <alignment horizontal="right"/>
    </xf>
    <xf numFmtId="0" fontId="11" fillId="4" borderId="0" xfId="0" applyFont="1" applyFill="1" applyAlignment="1">
      <alignment horizontal="left"/>
    </xf>
    <xf numFmtId="0" fontId="11" fillId="4" borderId="7" xfId="0" applyFont="1" applyFill="1" applyBorder="1" applyAlignment="1">
      <alignment horizontal="right"/>
    </xf>
    <xf numFmtId="0" fontId="14" fillId="2" borderId="0" xfId="0" applyFont="1" applyFill="1" applyAlignment="1"/>
    <xf numFmtId="0" fontId="14" fillId="2" borderId="0" xfId="0" applyFont="1" applyFill="1" applyAlignment="1">
      <alignment horizontal="right"/>
    </xf>
    <xf numFmtId="0" fontId="14" fillId="2" borderId="7" xfId="0" applyFont="1" applyFill="1" applyBorder="1" applyAlignment="1">
      <alignment horizontal="right"/>
    </xf>
    <xf numFmtId="0" fontId="15" fillId="2" borderId="0" xfId="0" applyFont="1" applyFill="1" applyAlignment="1"/>
    <xf numFmtId="0" fontId="15" fillId="2" borderId="0" xfId="0" applyFont="1" applyFill="1" applyAlignment="1">
      <alignment horizontal="right"/>
    </xf>
    <xf numFmtId="0" fontId="15" fillId="2" borderId="7" xfId="0" applyFont="1" applyFill="1" applyBorder="1" applyAlignment="1">
      <alignment horizontal="right"/>
    </xf>
    <xf numFmtId="0" fontId="13" fillId="2" borderId="6" xfId="0" applyFont="1" applyFill="1" applyBorder="1" applyAlignment="1"/>
    <xf numFmtId="0" fontId="12" fillId="2" borderId="0" xfId="0" applyFont="1" applyFill="1" applyAlignment="1">
      <alignment horizontal="right"/>
    </xf>
    <xf numFmtId="0" fontId="12" fillId="2" borderId="7" xfId="0" applyFont="1" applyFill="1" applyBorder="1" applyAlignment="1">
      <alignment horizontal="right"/>
    </xf>
    <xf numFmtId="0" fontId="13" fillId="2" borderId="0" xfId="0" applyFont="1" applyFill="1" applyAlignment="1"/>
    <xf numFmtId="0" fontId="11" fillId="2" borderId="7" xfId="0" applyFont="1" applyFill="1" applyBorder="1" applyAlignment="1">
      <alignment horizontal="right"/>
    </xf>
    <xf numFmtId="0" fontId="13" fillId="2" borderId="0" xfId="0" applyFont="1" applyFill="1" applyAlignment="1">
      <alignment horizontal="right"/>
    </xf>
    <xf numFmtId="0" fontId="13" fillId="2" borderId="7" xfId="0" applyFont="1" applyFill="1" applyBorder="1" applyAlignment="1">
      <alignment horizontal="right"/>
    </xf>
    <xf numFmtId="0" fontId="15" fillId="0" borderId="0" xfId="0" applyFont="1" applyAlignment="1"/>
    <xf numFmtId="0" fontId="14" fillId="2" borderId="0" xfId="0" applyFont="1" applyFill="1" applyAlignment="1"/>
    <xf numFmtId="0" fontId="14" fillId="2" borderId="0" xfId="0" applyFont="1" applyFill="1" applyAlignment="1">
      <alignment horizontal="right"/>
    </xf>
    <xf numFmtId="0" fontId="14" fillId="2" borderId="7" xfId="0" applyFont="1" applyFill="1" applyBorder="1" applyAlignment="1">
      <alignment horizontal="right"/>
    </xf>
    <xf numFmtId="0" fontId="13" fillId="2" borderId="6" xfId="0" applyFont="1" applyFill="1" applyBorder="1" applyAlignment="1"/>
    <xf numFmtId="0" fontId="13" fillId="2" borderId="9" xfId="0" applyFont="1" applyFill="1" applyBorder="1" applyAlignment="1"/>
    <xf numFmtId="3" fontId="10" fillId="2" borderId="9" xfId="0" applyNumberFormat="1" applyFont="1" applyFill="1" applyBorder="1" applyAlignment="1">
      <alignment horizontal="right"/>
    </xf>
    <xf numFmtId="3" fontId="10" fillId="2" borderId="10" xfId="0" applyNumberFormat="1" applyFont="1" applyFill="1" applyBorder="1" applyAlignment="1">
      <alignment horizontal="right"/>
    </xf>
    <xf numFmtId="3" fontId="16" fillId="2" borderId="9" xfId="0" applyNumberFormat="1" applyFont="1" applyFill="1" applyBorder="1" applyAlignment="1">
      <alignment horizontal="right"/>
    </xf>
    <xf numFmtId="3" fontId="16" fillId="2" borderId="10" xfId="0" applyNumberFormat="1" applyFont="1" applyFill="1" applyBorder="1" applyAlignment="1">
      <alignment horizontal="right"/>
    </xf>
    <xf numFmtId="0" fontId="12" fillId="0" borderId="0" xfId="0" applyFont="1" applyAlignment="1"/>
    <xf numFmtId="0" fontId="5" fillId="0" borderId="0" xfId="0" applyFont="1" applyBorder="1" applyAlignment="1"/>
    <xf numFmtId="0" fontId="0" fillId="0" borderId="0" xfId="0" applyFont="1" applyBorder="1" applyAlignment="1"/>
    <xf numFmtId="0" fontId="5" fillId="0" borderId="0" xfId="0" applyFont="1" applyFill="1" applyBorder="1" applyAlignment="1"/>
    <xf numFmtId="0" fontId="0" fillId="0" borderId="0" xfId="0" applyFont="1" applyAlignment="1"/>
    <xf numFmtId="0" fontId="5" fillId="0" borderId="0" xfId="1"/>
    <xf numFmtId="0" fontId="17" fillId="0" borderId="0" xfId="1" applyNumberFormat="1" applyFont="1"/>
    <xf numFmtId="0" fontId="18" fillId="0" borderId="0" xfId="1" applyNumberFormat="1" applyFont="1"/>
    <xf numFmtId="0" fontId="19" fillId="0" borderId="0" xfId="1" applyNumberFormat="1" applyFont="1"/>
    <xf numFmtId="0" fontId="20" fillId="0" borderId="0" xfId="1" applyNumberFormat="1" applyFont="1"/>
    <xf numFmtId="1" fontId="20" fillId="0" borderId="0" xfId="1" applyNumberFormat="1" applyFont="1"/>
    <xf numFmtId="9" fontId="20" fillId="0" borderId="0" xfId="1" applyNumberFormat="1" applyFont="1"/>
    <xf numFmtId="166" fontId="20" fillId="0" borderId="0" xfId="1" applyNumberFormat="1" applyFont="1"/>
    <xf numFmtId="3" fontId="20" fillId="0" borderId="0" xfId="1" applyNumberFormat="1" applyFont="1"/>
    <xf numFmtId="3" fontId="19" fillId="0" borderId="0" xfId="1" applyNumberFormat="1" applyFont="1"/>
    <xf numFmtId="0" fontId="8" fillId="0" borderId="0" xfId="1" applyNumberFormat="1" applyFont="1"/>
    <xf numFmtId="1" fontId="5" fillId="0" borderId="0" xfId="1" applyNumberFormat="1" applyFont="1"/>
    <xf numFmtId="0" fontId="0" fillId="0" borderId="0" xfId="0" applyFont="1" applyAlignment="1"/>
    <xf numFmtId="0" fontId="0" fillId="0" borderId="16" xfId="0" applyBorder="1"/>
    <xf numFmtId="0" fontId="0" fillId="0" borderId="16" xfId="0" applyFont="1" applyBorder="1" applyAlignment="1"/>
    <xf numFmtId="0" fontId="0" fillId="0" borderId="0" xfId="0" applyFont="1" applyAlignment="1"/>
    <xf numFmtId="0" fontId="3" fillId="0" borderId="1" xfId="0" applyFont="1" applyFill="1" applyBorder="1" applyAlignment="1"/>
    <xf numFmtId="0" fontId="6" fillId="0" borderId="1" xfId="0" applyFont="1" applyFill="1" applyBorder="1" applyAlignment="1"/>
    <xf numFmtId="0" fontId="6" fillId="0" borderId="0" xfId="0" applyFont="1" applyFill="1" applyAlignment="1"/>
    <xf numFmtId="0" fontId="6" fillId="0" borderId="0" xfId="0" applyFont="1" applyFill="1" applyBorder="1" applyAlignment="1"/>
    <xf numFmtId="0" fontId="5" fillId="0" borderId="0" xfId="0" applyFont="1" applyFill="1" applyAlignment="1"/>
    <xf numFmtId="0" fontId="4" fillId="0" borderId="16" xfId="0" applyFont="1" applyBorder="1" applyAlignment="1"/>
    <xf numFmtId="1" fontId="5" fillId="0" borderId="16" xfId="0" applyNumberFormat="1" applyFont="1" applyBorder="1"/>
    <xf numFmtId="0" fontId="5" fillId="0" borderId="16" xfId="0" applyFont="1" applyBorder="1" applyAlignment="1"/>
    <xf numFmtId="9" fontId="5" fillId="0" borderId="0" xfId="0" applyNumberFormat="1" applyFont="1" applyBorder="1"/>
    <xf numFmtId="0" fontId="5" fillId="0" borderId="16" xfId="0" applyFont="1" applyBorder="1"/>
    <xf numFmtId="0" fontId="0" fillId="0" borderId="16" xfId="0" applyFont="1" applyBorder="1" applyAlignment="1">
      <alignment wrapText="1"/>
    </xf>
    <xf numFmtId="0" fontId="4" fillId="0" borderId="16" xfId="0" applyFont="1" applyBorder="1" applyAlignment="1">
      <alignment wrapText="1"/>
    </xf>
    <xf numFmtId="0" fontId="0" fillId="0" borderId="0" xfId="0" applyFont="1" applyAlignment="1"/>
    <xf numFmtId="167" fontId="5" fillId="2" borderId="0" xfId="2" applyNumberFormat="1" applyFont="1" applyFill="1"/>
    <xf numFmtId="0" fontId="0" fillId="0" borderId="0" xfId="0" applyFont="1" applyAlignment="1"/>
    <xf numFmtId="0" fontId="4" fillId="2" borderId="11" xfId="0" applyFont="1" applyFill="1" applyBorder="1" applyAlignment="1">
      <alignment horizontal="right"/>
    </xf>
    <xf numFmtId="0" fontId="4" fillId="2" borderId="12" xfId="0" applyFont="1" applyFill="1" applyBorder="1" applyAlignment="1">
      <alignment horizontal="right"/>
    </xf>
    <xf numFmtId="0" fontId="4" fillId="2" borderId="13" xfId="0" applyFont="1" applyFill="1" applyBorder="1" applyAlignment="1">
      <alignment horizontal="right"/>
    </xf>
    <xf numFmtId="0" fontId="4" fillId="2" borderId="0" xfId="0" applyFont="1" applyFill="1" applyBorder="1" applyAlignment="1">
      <alignment horizontal="right"/>
    </xf>
    <xf numFmtId="3" fontId="4" fillId="4" borderId="0" xfId="0" applyNumberFormat="1" applyFont="1" applyFill="1" applyBorder="1" applyAlignment="1">
      <alignment horizontal="left"/>
    </xf>
    <xf numFmtId="3" fontId="5" fillId="4" borderId="0" xfId="0" applyNumberFormat="1" applyFont="1" applyFill="1" applyBorder="1" applyAlignment="1">
      <alignment horizontal="left"/>
    </xf>
    <xf numFmtId="0" fontId="5" fillId="2" borderId="13" xfId="0" applyFont="1" applyFill="1" applyBorder="1"/>
    <xf numFmtId="0" fontId="5" fillId="2" borderId="0" xfId="0" applyFont="1" applyFill="1" applyBorder="1"/>
    <xf numFmtId="0" fontId="5" fillId="2" borderId="14" xfId="0" applyFont="1" applyFill="1" applyBorder="1"/>
    <xf numFmtId="0" fontId="5" fillId="2" borderId="15" xfId="0" applyFont="1" applyFill="1" applyBorder="1"/>
    <xf numFmtId="0" fontId="5" fillId="0" borderId="21" xfId="0" applyFont="1" applyBorder="1"/>
    <xf numFmtId="1" fontId="5" fillId="0" borderId="21" xfId="0" applyNumberFormat="1" applyFont="1" applyBorder="1"/>
    <xf numFmtId="1" fontId="5" fillId="0" borderId="22" xfId="0" applyNumberFormat="1" applyFont="1" applyBorder="1"/>
    <xf numFmtId="0" fontId="16" fillId="0" borderId="16" xfId="0" applyFont="1" applyBorder="1" applyAlignment="1">
      <alignment horizontal="center"/>
    </xf>
    <xf numFmtId="0" fontId="16" fillId="0" borderId="16" xfId="0" applyFont="1" applyBorder="1" applyAlignment="1">
      <alignment horizontal="left"/>
    </xf>
    <xf numFmtId="0" fontId="2" fillId="0" borderId="0" xfId="81"/>
    <xf numFmtId="3" fontId="2" fillId="0" borderId="0" xfId="81" applyNumberFormat="1"/>
    <xf numFmtId="0" fontId="0" fillId="0" borderId="0" xfId="0" applyFont="1" applyAlignment="1"/>
    <xf numFmtId="0" fontId="5" fillId="0" borderId="0" xfId="0" applyFont="1" applyBorder="1"/>
    <xf numFmtId="168" fontId="5" fillId="0" borderId="16" xfId="0" applyNumberFormat="1" applyFont="1" applyBorder="1"/>
    <xf numFmtId="0" fontId="0" fillId="0" borderId="0" xfId="0" applyFont="1" applyBorder="1" applyAlignment="1">
      <alignment wrapText="1"/>
    </xf>
    <xf numFmtId="1" fontId="5" fillId="0" borderId="0" xfId="0" applyNumberFormat="1" applyFont="1" applyBorder="1"/>
    <xf numFmtId="0" fontId="5" fillId="0" borderId="16" xfId="0" applyFont="1" applyBorder="1" applyAlignment="1">
      <alignment wrapText="1"/>
    </xf>
    <xf numFmtId="169" fontId="4" fillId="0" borderId="16" xfId="0" applyNumberFormat="1" applyFont="1" applyBorder="1" applyAlignment="1"/>
    <xf numFmtId="0" fontId="12" fillId="36" borderId="16" xfId="0" applyFont="1" applyFill="1" applyBorder="1" applyAlignment="1"/>
    <xf numFmtId="0" fontId="0" fillId="36" borderId="16" xfId="0" applyFont="1" applyFill="1" applyBorder="1" applyAlignment="1"/>
    <xf numFmtId="1" fontId="0" fillId="36" borderId="16" xfId="0" applyNumberFormat="1" applyFont="1" applyFill="1" applyBorder="1" applyAlignment="1"/>
    <xf numFmtId="9" fontId="0" fillId="36" borderId="16" xfId="129" applyFont="1" applyFill="1" applyBorder="1" applyAlignment="1"/>
    <xf numFmtId="9" fontId="12" fillId="36" borderId="16" xfId="129" applyFont="1" applyFill="1" applyBorder="1" applyAlignment="1"/>
    <xf numFmtId="0" fontId="0" fillId="36" borderId="16" xfId="0" applyFont="1" applyFill="1" applyBorder="1" applyAlignment="1">
      <alignment horizontal="center"/>
    </xf>
    <xf numFmtId="2" fontId="0" fillId="36" borderId="16" xfId="0" applyNumberFormat="1" applyFont="1" applyFill="1" applyBorder="1" applyAlignment="1">
      <alignment horizontal="center"/>
    </xf>
    <xf numFmtId="0" fontId="16" fillId="0" borderId="18" xfId="0" applyFont="1" applyFill="1" applyBorder="1" applyAlignment="1">
      <alignment horizontal="left"/>
    </xf>
    <xf numFmtId="0" fontId="0" fillId="0" borderId="0" xfId="0" applyFont="1" applyAlignment="1"/>
    <xf numFmtId="0" fontId="0" fillId="0" borderId="0" xfId="0" applyFont="1" applyAlignment="1"/>
    <xf numFmtId="1" fontId="6" fillId="0" borderId="1" xfId="0" applyNumberFormat="1" applyFont="1" applyFill="1" applyBorder="1" applyAlignment="1"/>
    <xf numFmtId="3" fontId="6" fillId="0" borderId="1" xfId="0" applyNumberFormat="1" applyFont="1" applyFill="1" applyBorder="1" applyAlignment="1"/>
    <xf numFmtId="3" fontId="6" fillId="0" borderId="0" xfId="0" applyNumberFormat="1" applyFont="1" applyFill="1" applyBorder="1" applyAlignment="1"/>
    <xf numFmtId="1" fontId="6" fillId="0" borderId="0" xfId="0" applyNumberFormat="1" applyFont="1" applyFill="1" applyBorder="1" applyAlignment="1"/>
    <xf numFmtId="3" fontId="6" fillId="0" borderId="0" xfId="0" applyNumberFormat="1" applyFont="1" applyFill="1" applyAlignment="1"/>
    <xf numFmtId="1" fontId="6" fillId="0" borderId="0" xfId="0" applyNumberFormat="1" applyFont="1" applyFill="1" applyAlignment="1"/>
    <xf numFmtId="0" fontId="0" fillId="0" borderId="0" xfId="0" applyFont="1" applyAlignment="1"/>
    <xf numFmtId="0" fontId="0" fillId="0" borderId="0" xfId="0" applyFont="1" applyAlignment="1"/>
    <xf numFmtId="0" fontId="12" fillId="0" borderId="17" xfId="0" applyFont="1" applyBorder="1" applyAlignment="1">
      <alignment wrapText="1"/>
    </xf>
    <xf numFmtId="0" fontId="5" fillId="0" borderId="17" xfId="0" applyFont="1" applyBorder="1" applyAlignment="1">
      <alignment wrapText="1"/>
    </xf>
    <xf numFmtId="0" fontId="5" fillId="0" borderId="18" xfId="0" applyFont="1" applyFill="1" applyBorder="1" applyAlignment="1">
      <alignment wrapText="1"/>
    </xf>
    <xf numFmtId="0" fontId="5" fillId="0" borderId="0" xfId="0" applyFont="1" applyFill="1" applyBorder="1" applyAlignment="1">
      <alignment wrapText="1"/>
    </xf>
    <xf numFmtId="0" fontId="0" fillId="0" borderId="20" xfId="0" applyFont="1" applyBorder="1" applyAlignment="1"/>
    <xf numFmtId="1" fontId="5" fillId="0" borderId="20" xfId="0" applyNumberFormat="1" applyFont="1" applyBorder="1"/>
    <xf numFmtId="168" fontId="5" fillId="0" borderId="20" xfId="0" applyNumberFormat="1" applyFont="1" applyBorder="1"/>
    <xf numFmtId="0" fontId="12" fillId="0" borderId="16" xfId="0" applyFont="1" applyBorder="1" applyAlignment="1">
      <alignment wrapText="1"/>
    </xf>
    <xf numFmtId="168" fontId="5" fillId="0" borderId="22" xfId="0" applyNumberFormat="1" applyFont="1" applyBorder="1"/>
    <xf numFmtId="168" fontId="5" fillId="0" borderId="21" xfId="0" applyNumberFormat="1" applyFont="1" applyBorder="1"/>
    <xf numFmtId="169" fontId="4" fillId="0" borderId="20" xfId="0" applyNumberFormat="1" applyFont="1" applyBorder="1" applyAlignment="1"/>
    <xf numFmtId="0" fontId="0" fillId="0" borderId="21" xfId="0" applyFont="1" applyBorder="1" applyAlignment="1"/>
    <xf numFmtId="9" fontId="0" fillId="0" borderId="0" xfId="129" applyFont="1" applyAlignment="1"/>
    <xf numFmtId="0" fontId="51" fillId="0" borderId="0" xfId="0" applyFont="1" applyAlignment="1"/>
    <xf numFmtId="0" fontId="0" fillId="0" borderId="16" xfId="0" applyBorder="1" applyAlignment="1">
      <alignment wrapText="1"/>
    </xf>
    <xf numFmtId="4" fontId="6" fillId="0" borderId="1" xfId="0" applyNumberFormat="1" applyFont="1" applyFill="1" applyBorder="1" applyAlignment="1"/>
    <xf numFmtId="0" fontId="51" fillId="0" borderId="0" xfId="0" applyFont="1" applyBorder="1" applyAlignment="1">
      <alignment vertical="center"/>
    </xf>
    <xf numFmtId="3" fontId="6" fillId="0" borderId="33" xfId="0" applyNumberFormat="1" applyFont="1" applyFill="1" applyBorder="1" applyAlignment="1"/>
    <xf numFmtId="0" fontId="7" fillId="0" borderId="0" xfId="0" applyFont="1" applyAlignment="1"/>
    <xf numFmtId="0" fontId="5" fillId="0" borderId="16" xfId="0" applyFont="1" applyFill="1" applyBorder="1" applyAlignment="1"/>
    <xf numFmtId="1" fontId="0" fillId="0" borderId="16" xfId="0" applyNumberFormat="1" applyFont="1" applyBorder="1" applyAlignment="1"/>
    <xf numFmtId="168" fontId="5" fillId="0" borderId="16" xfId="0" applyNumberFormat="1" applyFont="1" applyFill="1" applyBorder="1" applyAlignment="1"/>
    <xf numFmtId="169" fontId="5" fillId="0" borderId="16" xfId="0" applyNumberFormat="1" applyFont="1" applyFill="1" applyBorder="1" applyAlignment="1"/>
    <xf numFmtId="0" fontId="0" fillId="0" borderId="0" xfId="0" applyFont="1" applyAlignment="1"/>
    <xf numFmtId="0" fontId="0" fillId="0" borderId="0" xfId="0" applyFont="1" applyAlignment="1"/>
    <xf numFmtId="9" fontId="5" fillId="0" borderId="0" xfId="0" applyNumberFormat="1" applyFont="1" applyFill="1" applyBorder="1" applyAlignment="1"/>
    <xf numFmtId="168" fontId="5" fillId="0" borderId="0" xfId="0" applyNumberFormat="1" applyFont="1" applyBorder="1"/>
    <xf numFmtId="169" fontId="4" fillId="0" borderId="0" xfId="0" applyNumberFormat="1" applyFont="1" applyBorder="1" applyAlignment="1"/>
    <xf numFmtId="9" fontId="5" fillId="0" borderId="0" xfId="129" applyFont="1" applyBorder="1"/>
    <xf numFmtId="166" fontId="0" fillId="36" borderId="16" xfId="129" applyNumberFormat="1" applyFont="1" applyFill="1" applyBorder="1" applyAlignment="1"/>
    <xf numFmtId="166" fontId="0" fillId="0" borderId="0" xfId="0" applyNumberFormat="1" applyFont="1" applyBorder="1" applyAlignment="1"/>
    <xf numFmtId="171" fontId="0" fillId="0" borderId="0" xfId="0" applyNumberFormat="1" applyFont="1" applyBorder="1" applyAlignment="1"/>
    <xf numFmtId="1" fontId="0" fillId="0" borderId="0" xfId="0" applyNumberFormat="1" applyFont="1" applyBorder="1" applyAlignment="1"/>
    <xf numFmtId="168" fontId="0" fillId="0" borderId="0" xfId="0" applyNumberFormat="1" applyFont="1" applyBorder="1" applyAlignment="1"/>
    <xf numFmtId="3" fontId="52" fillId="0" borderId="1" xfId="0" applyNumberFormat="1" applyFont="1" applyFill="1" applyBorder="1" applyAlignment="1"/>
    <xf numFmtId="3" fontId="52" fillId="0" borderId="0" xfId="0" applyNumberFormat="1" applyFont="1" applyFill="1" applyBorder="1" applyAlignment="1"/>
    <xf numFmtId="3" fontId="52" fillId="0" borderId="0" xfId="0" applyNumberFormat="1" applyFont="1" applyFill="1" applyAlignment="1"/>
    <xf numFmtId="169" fontId="0" fillId="0" borderId="0" xfId="0" applyNumberFormat="1" applyFont="1" applyBorder="1" applyAlignment="1"/>
    <xf numFmtId="0" fontId="0" fillId="0" borderId="34" xfId="0" applyFont="1" applyBorder="1" applyAlignment="1"/>
    <xf numFmtId="9" fontId="0" fillId="0" borderId="0" xfId="0" applyNumberFormat="1" applyFont="1" applyAlignment="1"/>
    <xf numFmtId="1" fontId="0" fillId="0" borderId="0" xfId="0" applyNumberFormat="1" applyFont="1" applyAlignment="1"/>
    <xf numFmtId="9" fontId="0" fillId="36" borderId="16" xfId="129" applyNumberFormat="1" applyFont="1" applyFill="1" applyBorder="1" applyAlignment="1"/>
    <xf numFmtId="9" fontId="0" fillId="0" borderId="0" xfId="129" applyFont="1" applyBorder="1" applyAlignment="1"/>
    <xf numFmtId="9" fontId="5" fillId="0" borderId="16" xfId="129" applyFont="1" applyBorder="1"/>
    <xf numFmtId="172" fontId="4" fillId="0" borderId="16" xfId="0" applyNumberFormat="1" applyFont="1" applyBorder="1" applyAlignment="1"/>
    <xf numFmtId="0" fontId="5" fillId="0" borderId="17" xfId="0" applyFont="1" applyBorder="1" applyAlignment="1">
      <alignment horizontal="center"/>
    </xf>
    <xf numFmtId="0" fontId="5" fillId="0" borderId="19" xfId="0" applyFont="1" applyBorder="1" applyAlignment="1">
      <alignment horizontal="center"/>
    </xf>
    <xf numFmtId="4" fontId="6" fillId="0" borderId="0" xfId="0" applyNumberFormat="1" applyFont="1" applyFill="1" applyBorder="1" applyAlignment="1"/>
    <xf numFmtId="0" fontId="5" fillId="0" borderId="14" xfId="0" applyFont="1" applyBorder="1" applyAlignment="1">
      <alignment wrapText="1"/>
    </xf>
    <xf numFmtId="0" fontId="5" fillId="0" borderId="15" xfId="0" applyFont="1" applyBorder="1" applyAlignment="1">
      <alignment wrapText="1"/>
    </xf>
    <xf numFmtId="0" fontId="0" fillId="0" borderId="15" xfId="0" applyFont="1" applyBorder="1" applyAlignment="1">
      <alignment wrapText="1"/>
    </xf>
    <xf numFmtId="0" fontId="0" fillId="0" borderId="0" xfId="0" applyFont="1" applyAlignment="1"/>
    <xf numFmtId="1" fontId="0" fillId="36" borderId="16" xfId="0" applyNumberFormat="1" applyFont="1" applyFill="1" applyBorder="1" applyAlignment="1">
      <alignment horizontal="center"/>
    </xf>
    <xf numFmtId="0" fontId="4" fillId="0" borderId="16" xfId="0" applyFont="1" applyBorder="1" applyAlignment="1">
      <alignment horizontal="center" wrapText="1"/>
    </xf>
    <xf numFmtId="9" fontId="0" fillId="0" borderId="16" xfId="129" applyFont="1" applyBorder="1" applyAlignment="1"/>
    <xf numFmtId="9" fontId="0" fillId="0" borderId="16" xfId="129" applyNumberFormat="1" applyFont="1" applyBorder="1" applyAlignment="1"/>
    <xf numFmtId="1" fontId="5" fillId="0" borderId="16" xfId="0" applyNumberFormat="1" applyFont="1" applyBorder="1" applyAlignment="1"/>
    <xf numFmtId="1" fontId="5" fillId="0" borderId="16" xfId="0" applyNumberFormat="1" applyFont="1" applyFill="1" applyBorder="1" applyAlignment="1"/>
    <xf numFmtId="3" fontId="4" fillId="36" borderId="16" xfId="0" applyNumberFormat="1" applyFont="1" applyFill="1" applyBorder="1" applyAlignment="1">
      <alignment vertical="center"/>
    </xf>
    <xf numFmtId="3" fontId="16" fillId="37" borderId="16" xfId="47" applyNumberFormat="1" applyFont="1" applyFill="1" applyBorder="1" applyAlignment="1">
      <alignment horizontal="center" vertical="center"/>
    </xf>
    <xf numFmtId="0" fontId="53" fillId="0" borderId="0" xfId="0" applyFont="1" applyFill="1" applyAlignment="1"/>
    <xf numFmtId="165" fontId="0" fillId="0" borderId="0" xfId="2" applyFont="1" applyAlignment="1"/>
    <xf numFmtId="3" fontId="53" fillId="0" borderId="0" xfId="0" applyNumberFormat="1" applyFont="1" applyFill="1" applyAlignment="1"/>
    <xf numFmtId="0" fontId="0" fillId="0" borderId="17" xfId="0" applyBorder="1"/>
    <xf numFmtId="0" fontId="0" fillId="0" borderId="16" xfId="0" applyFont="1" applyFill="1" applyBorder="1" applyAlignment="1"/>
    <xf numFmtId="1" fontId="0" fillId="0" borderId="16" xfId="0" applyNumberFormat="1" applyBorder="1"/>
    <xf numFmtId="0" fontId="0" fillId="0" borderId="0" xfId="0" applyFont="1" applyAlignment="1"/>
    <xf numFmtId="0" fontId="0" fillId="0" borderId="16" xfId="0" applyFont="1" applyBorder="1" applyAlignment="1">
      <alignment horizontal="center"/>
    </xf>
    <xf numFmtId="1" fontId="0" fillId="36" borderId="16" xfId="0" applyNumberFormat="1" applyFont="1" applyFill="1" applyBorder="1" applyAlignment="1">
      <alignment horizontal="center"/>
    </xf>
    <xf numFmtId="167" fontId="5" fillId="0" borderId="16" xfId="2" applyNumberFormat="1" applyFont="1" applyBorder="1"/>
    <xf numFmtId="0" fontId="0" fillId="0" borderId="0" xfId="0" applyFont="1" applyAlignment="1"/>
    <xf numFmtId="0" fontId="0" fillId="36" borderId="0" xfId="0" applyFont="1" applyFill="1" applyAlignment="1"/>
    <xf numFmtId="9" fontId="0" fillId="36" borderId="0" xfId="0" applyNumberFormat="1" applyFont="1" applyFill="1" applyAlignment="1"/>
    <xf numFmtId="0" fontId="0" fillId="0" borderId="0" xfId="0" applyFont="1" applyAlignment="1">
      <alignment horizontal="center"/>
    </xf>
    <xf numFmtId="0" fontId="16" fillId="36" borderId="16" xfId="0" applyFont="1" applyFill="1" applyBorder="1" applyAlignment="1"/>
    <xf numFmtId="0" fontId="16" fillId="0" borderId="16" xfId="0" applyFont="1" applyBorder="1" applyAlignment="1">
      <alignment horizontal="center" vertical="center" wrapText="1"/>
    </xf>
    <xf numFmtId="0" fontId="16" fillId="36" borderId="16" xfId="0" applyFont="1" applyFill="1" applyBorder="1" applyAlignment="1">
      <alignment horizontal="center" vertical="center" wrapText="1"/>
    </xf>
    <xf numFmtId="0" fontId="0" fillId="42" borderId="16" xfId="0" applyFont="1" applyFill="1" applyBorder="1" applyAlignment="1"/>
    <xf numFmtId="0" fontId="0" fillId="42" borderId="16" xfId="0" applyFont="1" applyFill="1" applyBorder="1" applyAlignment="1">
      <alignment horizontal="center"/>
    </xf>
    <xf numFmtId="9" fontId="5" fillId="42" borderId="16" xfId="0" applyNumberFormat="1" applyFont="1" applyFill="1" applyBorder="1" applyAlignment="1">
      <alignment horizontal="center"/>
    </xf>
    <xf numFmtId="9" fontId="5" fillId="36" borderId="16" xfId="0" applyNumberFormat="1" applyFont="1" applyFill="1" applyBorder="1" applyAlignment="1">
      <alignment horizontal="center"/>
    </xf>
    <xf numFmtId="167" fontId="5" fillId="42" borderId="16" xfId="2" applyNumberFormat="1" applyFont="1" applyFill="1" applyBorder="1" applyAlignment="1"/>
    <xf numFmtId="0" fontId="0" fillId="38" borderId="16" xfId="0" applyFont="1" applyFill="1" applyBorder="1" applyAlignment="1"/>
    <xf numFmtId="0" fontId="0" fillId="38" borderId="16" xfId="0" applyFont="1" applyFill="1" applyBorder="1" applyAlignment="1">
      <alignment horizontal="center"/>
    </xf>
    <xf numFmtId="9" fontId="5" fillId="38" borderId="16" xfId="0" applyNumberFormat="1" applyFont="1" applyFill="1" applyBorder="1" applyAlignment="1">
      <alignment horizontal="center"/>
    </xf>
    <xf numFmtId="167" fontId="5" fillId="38" borderId="16" xfId="2" applyNumberFormat="1" applyFont="1" applyFill="1" applyBorder="1" applyAlignment="1"/>
    <xf numFmtId="0" fontId="0" fillId="39" borderId="16" xfId="0" applyFont="1" applyFill="1" applyBorder="1" applyAlignment="1"/>
    <xf numFmtId="0" fontId="0" fillId="39" borderId="16" xfId="0" applyFont="1" applyFill="1" applyBorder="1" applyAlignment="1">
      <alignment horizontal="center"/>
    </xf>
    <xf numFmtId="9" fontId="5" fillId="39" borderId="16" xfId="0" applyNumberFormat="1" applyFont="1" applyFill="1" applyBorder="1" applyAlignment="1">
      <alignment horizontal="center"/>
    </xf>
    <xf numFmtId="167" fontId="5" fillId="39" borderId="16" xfId="2" applyNumberFormat="1" applyFont="1" applyFill="1" applyBorder="1" applyAlignment="1"/>
    <xf numFmtId="0" fontId="0" fillId="40" borderId="16" xfId="0" applyFont="1" applyFill="1" applyBorder="1" applyAlignment="1"/>
    <xf numFmtId="0" fontId="0" fillId="40" borderId="16" xfId="0" applyFont="1" applyFill="1" applyBorder="1" applyAlignment="1">
      <alignment horizontal="center"/>
    </xf>
    <xf numFmtId="9" fontId="5" fillId="40" borderId="16" xfId="0" applyNumberFormat="1" applyFont="1" applyFill="1" applyBorder="1" applyAlignment="1">
      <alignment horizontal="center"/>
    </xf>
    <xf numFmtId="167" fontId="5" fillId="40" borderId="16" xfId="2" applyNumberFormat="1" applyFont="1" applyFill="1" applyBorder="1" applyAlignment="1"/>
    <xf numFmtId="0" fontId="0" fillId="41" borderId="16" xfId="0" applyFont="1" applyFill="1" applyBorder="1" applyAlignment="1"/>
    <xf numFmtId="0" fontId="0" fillId="41" borderId="16" xfId="0" applyFont="1" applyFill="1" applyBorder="1" applyAlignment="1">
      <alignment horizontal="center"/>
    </xf>
    <xf numFmtId="9" fontId="5" fillId="41" borderId="16" xfId="0" applyNumberFormat="1" applyFont="1" applyFill="1" applyBorder="1" applyAlignment="1">
      <alignment horizontal="center"/>
    </xf>
    <xf numFmtId="167" fontId="5" fillId="41" borderId="16" xfId="2" applyNumberFormat="1" applyFont="1" applyFill="1" applyBorder="1" applyAlignment="1"/>
    <xf numFmtId="0" fontId="5" fillId="36" borderId="16" xfId="0" applyFont="1" applyFill="1" applyBorder="1" applyAlignment="1"/>
    <xf numFmtId="167" fontId="5" fillId="0" borderId="16" xfId="2" applyNumberFormat="1" applyFont="1" applyBorder="1" applyAlignment="1"/>
    <xf numFmtId="0" fontId="12" fillId="0" borderId="16" xfId="0" applyFont="1" applyBorder="1"/>
    <xf numFmtId="173" fontId="0" fillId="0" borderId="0" xfId="0" applyNumberFormat="1" applyFont="1" applyAlignment="1"/>
    <xf numFmtId="167" fontId="0" fillId="0" borderId="0" xfId="2" applyNumberFormat="1" applyFont="1" applyAlignment="1">
      <alignment horizontal="center"/>
    </xf>
    <xf numFmtId="1" fontId="0" fillId="0" borderId="0" xfId="0" applyNumberFormat="1" applyFont="1" applyAlignment="1">
      <alignment horizontal="center"/>
    </xf>
    <xf numFmtId="9" fontId="0" fillId="0" borderId="0" xfId="129" applyFont="1" applyAlignment="1">
      <alignment horizontal="center"/>
    </xf>
    <xf numFmtId="0" fontId="16" fillId="0" borderId="16" xfId="0" applyFont="1" applyBorder="1" applyAlignment="1">
      <alignment wrapText="1"/>
    </xf>
    <xf numFmtId="167" fontId="0" fillId="0" borderId="16" xfId="2" applyNumberFormat="1" applyFont="1" applyBorder="1" applyAlignment="1">
      <alignment horizontal="center"/>
    </xf>
    <xf numFmtId="1" fontId="0" fillId="0" borderId="16" xfId="0" applyNumberFormat="1" applyFont="1" applyBorder="1" applyAlignment="1">
      <alignment horizontal="center"/>
    </xf>
    <xf numFmtId="9" fontId="0" fillId="0" borderId="16" xfId="129" applyFont="1" applyBorder="1" applyAlignment="1">
      <alignment horizontal="center"/>
    </xf>
    <xf numFmtId="9" fontId="12" fillId="0" borderId="16" xfId="129" applyFont="1" applyBorder="1" applyAlignment="1">
      <alignment horizontal="center"/>
    </xf>
    <xf numFmtId="0" fontId="5" fillId="0" borderId="16" xfId="0" applyFont="1" applyBorder="1" applyAlignment="1">
      <alignment horizontal="center"/>
    </xf>
    <xf numFmtId="168" fontId="5" fillId="0" borderId="16" xfId="0" applyNumberFormat="1" applyFont="1" applyBorder="1" applyAlignment="1">
      <alignment horizontal="center"/>
    </xf>
    <xf numFmtId="9" fontId="5" fillId="0" borderId="16" xfId="129" applyFont="1" applyBorder="1" applyAlignment="1">
      <alignment horizontal="center"/>
    </xf>
    <xf numFmtId="9" fontId="0" fillId="36" borderId="16" xfId="129" applyNumberFormat="1" applyFont="1" applyFill="1" applyBorder="1" applyAlignment="1">
      <alignment horizontal="center"/>
    </xf>
    <xf numFmtId="9" fontId="0" fillId="36" borderId="16" xfId="129" applyFont="1" applyFill="1" applyBorder="1" applyAlignment="1">
      <alignment horizontal="center"/>
    </xf>
    <xf numFmtId="9" fontId="12" fillId="36" borderId="16" xfId="129" applyFont="1" applyFill="1" applyBorder="1" applyAlignment="1">
      <alignment horizontal="center"/>
    </xf>
    <xf numFmtId="0" fontId="5" fillId="0" borderId="16" xfId="0" applyFont="1" applyFill="1" applyBorder="1" applyAlignment="1">
      <alignment horizontal="center"/>
    </xf>
    <xf numFmtId="168" fontId="5" fillId="0" borderId="16" xfId="0" applyNumberFormat="1" applyFont="1" applyFill="1" applyBorder="1" applyAlignment="1">
      <alignment horizontal="center"/>
    </xf>
    <xf numFmtId="0" fontId="12" fillId="36" borderId="16" xfId="0" applyFont="1" applyFill="1" applyBorder="1" applyAlignment="1">
      <alignment horizontal="center"/>
    </xf>
    <xf numFmtId="0" fontId="12" fillId="0" borderId="16" xfId="0" applyFont="1" applyBorder="1" applyAlignment="1">
      <alignment horizontal="center"/>
    </xf>
    <xf numFmtId="0" fontId="0" fillId="0" borderId="0" xfId="0" applyFont="1" applyAlignment="1"/>
    <xf numFmtId="0" fontId="16" fillId="0" borderId="16" xfId="0" applyFont="1" applyBorder="1" applyAlignment="1">
      <alignment horizontal="center"/>
    </xf>
    <xf numFmtId="1" fontId="0" fillId="36" borderId="16" xfId="0" applyNumberFormat="1" applyFont="1" applyFill="1" applyBorder="1" applyAlignment="1">
      <alignment horizontal="center"/>
    </xf>
    <xf numFmtId="0" fontId="0" fillId="0" borderId="16" xfId="0" applyFont="1" applyFill="1" applyBorder="1" applyAlignment="1">
      <alignment wrapText="1"/>
    </xf>
    <xf numFmtId="9" fontId="0" fillId="0" borderId="16" xfId="0" applyNumberFormat="1" applyFont="1" applyBorder="1" applyAlignment="1"/>
    <xf numFmtId="0" fontId="16" fillId="0" borderId="16" xfId="0" applyFont="1" applyBorder="1" applyAlignment="1"/>
    <xf numFmtId="0" fontId="0" fillId="0" borderId="0" xfId="0" applyFont="1" applyAlignment="1">
      <alignment wrapText="1"/>
    </xf>
    <xf numFmtId="173" fontId="0" fillId="0" borderId="16" xfId="0" applyNumberFormat="1" applyFont="1" applyBorder="1" applyAlignment="1">
      <alignment wrapText="1"/>
    </xf>
    <xf numFmtId="3" fontId="12" fillId="0" borderId="16" xfId="0" applyNumberFormat="1" applyFont="1" applyBorder="1" applyAlignment="1">
      <alignment wrapText="1"/>
    </xf>
    <xf numFmtId="0" fontId="12" fillId="0" borderId="0" xfId="0" applyFont="1" applyBorder="1" applyAlignment="1">
      <alignment wrapText="1"/>
    </xf>
    <xf numFmtId="173" fontId="12" fillId="0" borderId="0" xfId="0" applyNumberFormat="1" applyFont="1" applyBorder="1" applyAlignment="1">
      <alignment wrapText="1"/>
    </xf>
    <xf numFmtId="167" fontId="0" fillId="41" borderId="16" xfId="2" applyNumberFormat="1" applyFont="1" applyFill="1" applyBorder="1" applyAlignment="1">
      <alignment horizontal="center"/>
    </xf>
    <xf numFmtId="9" fontId="0" fillId="41" borderId="16" xfId="129" applyFont="1" applyFill="1" applyBorder="1" applyAlignment="1">
      <alignment horizontal="center"/>
    </xf>
    <xf numFmtId="170" fontId="12" fillId="37" borderId="0" xfId="44" applyFont="1" applyFill="1" applyAlignment="1">
      <alignment horizontal="left" indent="2"/>
    </xf>
    <xf numFmtId="170" fontId="12" fillId="37" borderId="0" xfId="44" applyFont="1" applyFill="1" applyAlignment="1">
      <alignment horizontal="left" vertical="center" indent="2"/>
    </xf>
    <xf numFmtId="175" fontId="12" fillId="37" borderId="0" xfId="44" applyNumberFormat="1" applyFont="1" applyFill="1" applyAlignment="1">
      <alignment horizontal="right" vertical="center"/>
    </xf>
    <xf numFmtId="166" fontId="12" fillId="37" borderId="0" xfId="129" applyNumberFormat="1" applyFont="1" applyFill="1" applyAlignment="1"/>
    <xf numFmtId="176" fontId="12" fillId="37" borderId="0" xfId="44" applyNumberFormat="1" applyFont="1" applyFill="1" applyAlignment="1">
      <alignment horizontal="right" vertical="center"/>
    </xf>
    <xf numFmtId="166" fontId="12" fillId="37" borderId="0" xfId="48" applyNumberFormat="1" applyFont="1" applyFill="1" applyAlignment="1">
      <alignment vertical="center"/>
    </xf>
    <xf numFmtId="0" fontId="0" fillId="36" borderId="0" xfId="0" applyFill="1"/>
    <xf numFmtId="166" fontId="55" fillId="37" borderId="0" xfId="44" applyNumberFormat="1" applyFont="1" applyFill="1" applyAlignment="1">
      <alignment horizontal="right" vertical="center"/>
    </xf>
    <xf numFmtId="170" fontId="16" fillId="37" borderId="0" xfId="44" applyFont="1" applyFill="1" applyAlignment="1"/>
    <xf numFmtId="9" fontId="16" fillId="37" borderId="0" xfId="48" applyFont="1" applyFill="1" applyAlignment="1">
      <alignment vertical="center"/>
    </xf>
    <xf numFmtId="175" fontId="16" fillId="37" borderId="0" xfId="44" applyNumberFormat="1" applyFont="1" applyFill="1" applyAlignment="1"/>
    <xf numFmtId="175" fontId="16" fillId="37" borderId="0" xfId="44" applyNumberFormat="1" applyFont="1" applyFill="1" applyAlignment="1">
      <alignment vertical="center"/>
    </xf>
    <xf numFmtId="0" fontId="56" fillId="37" borderId="0" xfId="83" applyFont="1" applyFill="1" applyAlignment="1">
      <alignment horizontal="left" vertical="center"/>
    </xf>
    <xf numFmtId="170" fontId="57" fillId="37" borderId="0" xfId="44" applyFont="1" applyFill="1" applyAlignment="1"/>
    <xf numFmtId="170" fontId="54" fillId="37" borderId="0" xfId="44" applyFont="1" applyFill="1" applyAlignment="1"/>
    <xf numFmtId="170" fontId="12" fillId="37" borderId="0" xfId="44" applyFont="1" applyFill="1" applyAlignment="1"/>
    <xf numFmtId="170" fontId="12" fillId="37" borderId="9" xfId="44" applyFont="1" applyFill="1" applyBorder="1" applyAlignment="1"/>
    <xf numFmtId="170" fontId="12" fillId="37" borderId="4" xfId="44" applyFont="1" applyFill="1" applyBorder="1" applyAlignment="1"/>
    <xf numFmtId="170" fontId="12" fillId="37" borderId="35" xfId="44" applyFont="1" applyFill="1" applyBorder="1" applyAlignment="1"/>
    <xf numFmtId="170" fontId="12" fillId="37" borderId="36" xfId="44" applyFont="1" applyFill="1" applyBorder="1" applyAlignment="1">
      <alignment horizontal="right"/>
    </xf>
    <xf numFmtId="170" fontId="12" fillId="37" borderId="36" xfId="44" applyFont="1" applyFill="1" applyBorder="1" applyAlignment="1">
      <alignment horizontal="right" wrapText="1"/>
    </xf>
    <xf numFmtId="170" fontId="12" fillId="37" borderId="0" xfId="44" applyFont="1" applyFill="1" applyAlignment="1">
      <alignment horizontal="right"/>
    </xf>
    <xf numFmtId="170" fontId="12" fillId="37" borderId="0" xfId="44" applyFont="1" applyFill="1" applyAlignment="1">
      <alignment horizontal="right" wrapText="1"/>
    </xf>
    <xf numFmtId="170" fontId="14" fillId="37" borderId="0" xfId="44" applyFont="1" applyFill="1" applyAlignment="1"/>
    <xf numFmtId="170" fontId="16" fillId="37" borderId="0" xfId="44" applyFont="1" applyFill="1" applyAlignment="1">
      <alignment vertical="center"/>
    </xf>
    <xf numFmtId="166" fontId="55" fillId="37" borderId="0" xfId="44" applyNumberFormat="1" applyFont="1" applyFill="1" applyBorder="1" applyAlignment="1">
      <alignment horizontal="right" vertical="center"/>
    </xf>
    <xf numFmtId="170" fontId="12" fillId="37" borderId="35" xfId="44" applyFont="1" applyFill="1" applyBorder="1" applyAlignment="1">
      <alignment horizontal="left" vertical="center" indent="2"/>
    </xf>
    <xf numFmtId="166" fontId="55" fillId="37" borderId="32" xfId="44" applyNumberFormat="1" applyFont="1" applyFill="1" applyBorder="1" applyAlignment="1">
      <alignment horizontal="right" vertical="center"/>
    </xf>
    <xf numFmtId="166" fontId="12" fillId="37" borderId="35" xfId="48" applyNumberFormat="1" applyFont="1" applyFill="1" applyBorder="1" applyAlignment="1">
      <alignment vertical="center"/>
    </xf>
    <xf numFmtId="178" fontId="0" fillId="37" borderId="32" xfId="0" applyNumberFormat="1" applyFill="1" applyBorder="1" applyAlignment="1">
      <alignment horizontal="right" vertical="center"/>
    </xf>
    <xf numFmtId="166" fontId="12" fillId="37" borderId="32" xfId="48" applyNumberFormat="1" applyFont="1" applyFill="1" applyBorder="1" applyAlignment="1">
      <alignment vertical="center"/>
    </xf>
    <xf numFmtId="0" fontId="9" fillId="37" borderId="0" xfId="0" applyFont="1" applyFill="1" applyAlignment="1">
      <alignment horizontal="left"/>
    </xf>
    <xf numFmtId="0" fontId="58" fillId="37" borderId="0" xfId="0" applyFont="1" applyFill="1" applyAlignment="1">
      <alignment horizontal="left"/>
    </xf>
    <xf numFmtId="170" fontId="9" fillId="37" borderId="0" xfId="44" applyFont="1" applyFill="1" applyAlignment="1">
      <alignment horizontal="right"/>
    </xf>
    <xf numFmtId="15" fontId="9" fillId="37" borderId="0" xfId="44" applyNumberFormat="1" applyFont="1" applyFill="1" applyAlignment="1">
      <alignment horizontal="right"/>
    </xf>
    <xf numFmtId="17" fontId="9" fillId="37" borderId="0" xfId="44" applyNumberFormat="1" applyFont="1" applyFill="1" applyAlignment="1">
      <alignment horizontal="right"/>
    </xf>
    <xf numFmtId="0" fontId="9" fillId="36" borderId="0" xfId="0" applyFont="1" applyFill="1" applyBorder="1"/>
    <xf numFmtId="170" fontId="9" fillId="37" borderId="0" xfId="44" applyFont="1" applyFill="1" applyAlignment="1"/>
    <xf numFmtId="0" fontId="59" fillId="36" borderId="0" xfId="126" applyFont="1" applyFill="1" applyBorder="1" applyAlignment="1"/>
    <xf numFmtId="170" fontId="59" fillId="37" borderId="0" xfId="49" applyFont="1" applyFill="1" applyAlignment="1"/>
    <xf numFmtId="0" fontId="0" fillId="37" borderId="0" xfId="0" applyFill="1"/>
    <xf numFmtId="0" fontId="13" fillId="0" borderId="0" xfId="130"/>
    <xf numFmtId="0" fontId="56" fillId="2" borderId="0" xfId="133" applyFont="1" applyFill="1" applyAlignment="1">
      <alignment horizontal="left" vertical="center"/>
    </xf>
    <xf numFmtId="174" fontId="57" fillId="2" borderId="0" xfId="134" applyFont="1" applyFill="1" applyAlignment="1"/>
    <xf numFmtId="0" fontId="12" fillId="2" borderId="0" xfId="130" applyFont="1" applyFill="1" applyAlignment="1" applyProtection="1">
      <alignment horizontal="left" vertical="center"/>
    </xf>
    <xf numFmtId="174" fontId="54" fillId="2" borderId="0" xfId="134" applyFont="1" applyFill="1" applyAlignment="1"/>
    <xf numFmtId="174" fontId="12" fillId="2" borderId="0" xfId="134" applyFont="1" applyFill="1" applyAlignment="1"/>
    <xf numFmtId="174" fontId="12" fillId="2" borderId="4" xfId="134" applyFont="1" applyFill="1" applyBorder="1" applyAlignment="1"/>
    <xf numFmtId="174" fontId="12" fillId="2" borderId="35" xfId="134" applyFont="1" applyFill="1" applyBorder="1" applyAlignment="1"/>
    <xf numFmtId="174" fontId="12" fillId="2" borderId="36" xfId="134" applyFont="1" applyFill="1" applyBorder="1" applyAlignment="1">
      <alignment horizontal="right"/>
    </xf>
    <xf numFmtId="174" fontId="12" fillId="2" borderId="36" xfId="134" applyFont="1" applyFill="1" applyBorder="1" applyAlignment="1">
      <alignment horizontal="right" wrapText="1"/>
    </xf>
    <xf numFmtId="174" fontId="12" fillId="2" borderId="0" xfId="134" applyFont="1" applyFill="1" applyAlignment="1">
      <alignment horizontal="right"/>
    </xf>
    <xf numFmtId="174" fontId="12" fillId="2" borderId="0" xfId="134" applyFont="1" applyFill="1" applyAlignment="1">
      <alignment horizontal="right" wrapText="1"/>
    </xf>
    <xf numFmtId="174" fontId="16" fillId="2" borderId="0" xfId="134" applyFont="1" applyFill="1" applyAlignment="1"/>
    <xf numFmtId="175" fontId="16" fillId="2" borderId="0" xfId="134" applyNumberFormat="1" applyFont="1" applyFill="1" applyAlignment="1">
      <alignment vertical="center"/>
    </xf>
    <xf numFmtId="9" fontId="16" fillId="2" borderId="0" xfId="136" applyFont="1" applyFill="1" applyAlignment="1">
      <alignment vertical="center"/>
    </xf>
    <xf numFmtId="166" fontId="13" fillId="2" borderId="0" xfId="130" applyNumberFormat="1" applyFill="1"/>
    <xf numFmtId="174" fontId="14" fillId="2" borderId="0" xfId="134" applyFont="1" applyFill="1" applyAlignment="1"/>
    <xf numFmtId="175" fontId="14" fillId="2" borderId="0" xfId="134" applyNumberFormat="1" applyFont="1" applyFill="1" applyAlignment="1"/>
    <xf numFmtId="174" fontId="16" fillId="2" borderId="0" xfId="134" applyFont="1" applyFill="1" applyAlignment="1">
      <alignment vertical="center"/>
    </xf>
    <xf numFmtId="174" fontId="12" fillId="2" borderId="0" xfId="134" applyFont="1" applyFill="1" applyAlignment="1">
      <alignment horizontal="left" indent="2"/>
    </xf>
    <xf numFmtId="175" fontId="12" fillId="2" borderId="0" xfId="134" applyNumberFormat="1" applyFont="1" applyFill="1" applyAlignment="1">
      <alignment horizontal="right" vertical="center"/>
    </xf>
    <xf numFmtId="166" fontId="12" fillId="2" borderId="0" xfId="136" applyNumberFormat="1" applyFont="1" applyFill="1" applyAlignment="1">
      <alignment vertical="center"/>
    </xf>
    <xf numFmtId="174" fontId="12" fillId="2" borderId="0" xfId="134" applyFont="1" applyFill="1" applyAlignment="1">
      <alignment horizontal="left" vertical="center" indent="2"/>
    </xf>
    <xf numFmtId="166" fontId="12" fillId="2" borderId="0" xfId="130" applyNumberFormat="1" applyFont="1" applyFill="1" applyAlignment="1">
      <alignment horizontal="right" vertical="center"/>
    </xf>
    <xf numFmtId="166" fontId="12" fillId="2" borderId="0" xfId="136" applyNumberFormat="1" applyFont="1" applyFill="1" applyAlignment="1">
      <alignment horizontal="right" vertical="center"/>
    </xf>
    <xf numFmtId="166" fontId="12" fillId="2" borderId="0" xfId="131" applyNumberFormat="1" applyFont="1" applyFill="1" applyAlignment="1">
      <alignment horizontal="right" vertical="center"/>
    </xf>
    <xf numFmtId="174" fontId="12" fillId="2" borderId="35" xfId="134" applyFont="1" applyFill="1" applyBorder="1" applyAlignment="1">
      <alignment horizontal="left" vertical="center" indent="2"/>
    </xf>
    <xf numFmtId="175" fontId="13" fillId="2" borderId="35" xfId="130" applyNumberFormat="1" applyFill="1" applyBorder="1" applyAlignment="1">
      <alignment horizontal="right" vertical="center"/>
    </xf>
    <xf numFmtId="166" fontId="12" fillId="2" borderId="35" xfId="131" applyNumberFormat="1" applyFont="1" applyFill="1" applyBorder="1" applyAlignment="1">
      <alignment horizontal="right" vertical="center"/>
    </xf>
    <xf numFmtId="179" fontId="12" fillId="2" borderId="35" xfId="135" applyNumberFormat="1" applyFont="1" applyFill="1" applyBorder="1" applyAlignment="1">
      <alignment horizontal="right" vertical="center"/>
    </xf>
    <xf numFmtId="166" fontId="12" fillId="2" borderId="35" xfId="136" applyNumberFormat="1" applyFont="1" applyFill="1" applyBorder="1" applyAlignment="1">
      <alignment vertical="center"/>
    </xf>
    <xf numFmtId="0" fontId="9" fillId="2" borderId="0" xfId="130" applyFont="1" applyFill="1" applyAlignment="1">
      <alignment horizontal="left"/>
    </xf>
    <xf numFmtId="0" fontId="58" fillId="2" borderId="0" xfId="130" applyFont="1" applyFill="1" applyAlignment="1">
      <alignment horizontal="left"/>
    </xf>
    <xf numFmtId="174" fontId="9" fillId="2" borderId="0" xfId="134" applyFont="1" applyFill="1" applyAlignment="1">
      <alignment horizontal="right"/>
    </xf>
    <xf numFmtId="15" fontId="9" fillId="2" borderId="0" xfId="134" applyNumberFormat="1" applyFont="1" applyFill="1" applyAlignment="1">
      <alignment horizontal="right"/>
    </xf>
    <xf numFmtId="0" fontId="9" fillId="2" borderId="0" xfId="130" applyFont="1" applyFill="1"/>
    <xf numFmtId="0" fontId="59" fillId="2" borderId="0" xfId="126" applyFont="1" applyFill="1" applyAlignment="1"/>
    <xf numFmtId="17" fontId="9" fillId="2" borderId="0" xfId="134" applyNumberFormat="1" applyFont="1" applyFill="1" applyAlignment="1">
      <alignment horizontal="right"/>
    </xf>
    <xf numFmtId="174" fontId="9" fillId="2" borderId="0" xfId="134" applyFont="1" applyFill="1" applyAlignment="1"/>
    <xf numFmtId="174" fontId="59" fillId="2" borderId="0" xfId="132" applyFont="1" applyFill="1" applyAlignment="1"/>
    <xf numFmtId="177" fontId="12" fillId="2" borderId="2" xfId="134" applyNumberFormat="1" applyFont="1" applyFill="1" applyBorder="1" applyAlignment="1">
      <alignment horizontal="center"/>
    </xf>
    <xf numFmtId="3" fontId="0" fillId="0" borderId="16" xfId="0" applyNumberFormat="1" applyFont="1" applyBorder="1" applyAlignment="1"/>
    <xf numFmtId="0" fontId="5" fillId="0" borderId="32" xfId="137" applyFont="1" applyFill="1" applyBorder="1" applyAlignment="1">
      <alignment horizontal="right" vertical="center"/>
    </xf>
    <xf numFmtId="0" fontId="5" fillId="43" borderId="32" xfId="137" applyFont="1" applyFill="1" applyBorder="1" applyAlignment="1">
      <alignment horizontal="right" vertical="center"/>
    </xf>
    <xf numFmtId="166" fontId="5" fillId="43" borderId="0" xfId="137" applyNumberFormat="1" applyFont="1" applyFill="1" applyBorder="1" applyAlignment="1">
      <alignment vertical="center"/>
    </xf>
    <xf numFmtId="0" fontId="1" fillId="36" borderId="0" xfId="137" applyFill="1"/>
    <xf numFmtId="0" fontId="5" fillId="36" borderId="0" xfId="137" applyFont="1" applyFill="1" applyBorder="1" applyAlignment="1" applyProtection="1">
      <alignment horizontal="left" vertical="center"/>
    </xf>
    <xf numFmtId="0" fontId="5" fillId="36" borderId="12" xfId="137" applyFont="1" applyFill="1" applyBorder="1"/>
    <xf numFmtId="0" fontId="61" fillId="0" borderId="0" xfId="137" applyFont="1" applyFill="1" applyBorder="1" applyAlignment="1" applyProtection="1">
      <alignment vertical="center"/>
    </xf>
    <xf numFmtId="0" fontId="5" fillId="0" borderId="0" xfId="137" applyFont="1" applyFill="1" applyBorder="1"/>
    <xf numFmtId="0" fontId="5" fillId="43" borderId="0" xfId="137" applyFont="1" applyFill="1" applyBorder="1"/>
    <xf numFmtId="166" fontId="5" fillId="36" borderId="0" xfId="137" applyNumberFormat="1" applyFont="1" applyFill="1" applyBorder="1" applyAlignment="1" applyProtection="1">
      <alignment horizontal="right" vertical="center"/>
    </xf>
    <xf numFmtId="166" fontId="4" fillId="43" borderId="32" xfId="137" applyNumberFormat="1" applyFont="1" applyFill="1" applyBorder="1" applyAlignment="1">
      <alignment vertical="center"/>
    </xf>
    <xf numFmtId="10" fontId="5" fillId="36" borderId="0" xfId="137" applyNumberFormat="1" applyFont="1" applyFill="1" applyBorder="1" applyAlignment="1" applyProtection="1">
      <alignment horizontal="left" vertical="center"/>
    </xf>
    <xf numFmtId="3" fontId="5" fillId="36" borderId="0" xfId="137" applyNumberFormat="1" applyFont="1" applyFill="1" applyBorder="1" applyAlignment="1" applyProtection="1">
      <alignment horizontal="right" vertical="center"/>
    </xf>
    <xf numFmtId="10" fontId="5" fillId="36" borderId="0" xfId="137" applyNumberFormat="1" applyFont="1" applyFill="1" applyBorder="1" applyAlignment="1" applyProtection="1">
      <alignment horizontal="right" vertical="center"/>
    </xf>
    <xf numFmtId="3" fontId="5" fillId="36" borderId="0" xfId="137" applyNumberFormat="1" applyFont="1" applyFill="1" applyBorder="1" applyAlignment="1">
      <alignment vertical="center"/>
    </xf>
    <xf numFmtId="180" fontId="5" fillId="36" borderId="0" xfId="137" applyNumberFormat="1" applyFont="1" applyFill="1" applyBorder="1" applyAlignment="1">
      <alignment vertical="center"/>
    </xf>
    <xf numFmtId="0" fontId="5" fillId="36" borderId="0" xfId="137" applyFont="1" applyFill="1" applyBorder="1"/>
    <xf numFmtId="0" fontId="1" fillId="36" borderId="0" xfId="137" applyFill="1" applyBorder="1" applyAlignment="1"/>
    <xf numFmtId="0" fontId="5" fillId="36" borderId="12" xfId="137" applyFont="1" applyFill="1" applyBorder="1" applyAlignment="1">
      <alignment horizontal="center" vertical="center"/>
    </xf>
    <xf numFmtId="0" fontId="5" fillId="36" borderId="32" xfId="137" applyFont="1" applyFill="1" applyBorder="1" applyAlignment="1">
      <alignment vertical="center"/>
    </xf>
    <xf numFmtId="0" fontId="5" fillId="36" borderId="32" xfId="137" applyFont="1" applyFill="1" applyBorder="1" applyAlignment="1">
      <alignment horizontal="right" vertical="center"/>
    </xf>
    <xf numFmtId="0" fontId="5" fillId="36" borderId="32" xfId="137" applyFont="1" applyFill="1" applyBorder="1" applyAlignment="1">
      <alignment horizontal="right" vertical="center" wrapText="1"/>
    </xf>
    <xf numFmtId="0" fontId="5" fillId="36" borderId="32" xfId="137" applyFont="1" applyFill="1" applyBorder="1" applyAlignment="1">
      <alignment horizontal="right"/>
    </xf>
    <xf numFmtId="0" fontId="15" fillId="36" borderId="0" xfId="137" applyFont="1" applyFill="1" applyBorder="1" applyAlignment="1">
      <alignment vertical="center"/>
    </xf>
    <xf numFmtId="0" fontId="5" fillId="36" borderId="0" xfId="137" applyFont="1" applyFill="1" applyBorder="1" applyAlignment="1">
      <alignment horizontal="right"/>
    </xf>
    <xf numFmtId="3" fontId="5" fillId="36" borderId="0" xfId="137" applyNumberFormat="1" applyFont="1" applyFill="1" applyBorder="1" applyAlignment="1" applyProtection="1">
      <alignment horizontal="left" vertical="center"/>
    </xf>
    <xf numFmtId="0" fontId="1" fillId="36" borderId="0" xfId="137" applyFill="1" applyBorder="1"/>
    <xf numFmtId="3" fontId="5" fillId="36" borderId="0" xfId="137" applyNumberFormat="1" applyFont="1" applyFill="1" applyBorder="1" applyAlignment="1">
      <alignment horizontal="right"/>
    </xf>
    <xf numFmtId="166" fontId="5" fillId="36" borderId="0" xfId="137" applyNumberFormat="1" applyFont="1" applyFill="1" applyBorder="1" applyAlignment="1">
      <alignment horizontal="right"/>
    </xf>
    <xf numFmtId="0" fontId="4" fillId="36" borderId="32" xfId="137" applyFont="1" applyFill="1" applyBorder="1" applyAlignment="1" applyProtection="1">
      <alignment horizontal="left" vertical="center"/>
    </xf>
    <xf numFmtId="3" fontId="4" fillId="36" borderId="32" xfId="137" applyNumberFormat="1" applyFont="1" applyFill="1" applyBorder="1" applyAlignment="1" applyProtection="1">
      <alignment horizontal="right" vertical="center"/>
    </xf>
    <xf numFmtId="166" fontId="4" fillId="36" borderId="32" xfId="137" applyNumberFormat="1" applyFont="1" applyFill="1" applyBorder="1" applyAlignment="1" applyProtection="1">
      <alignment horizontal="right" vertical="center"/>
    </xf>
    <xf numFmtId="3" fontId="4" fillId="36" borderId="32" xfId="137" applyNumberFormat="1" applyFont="1" applyFill="1" applyBorder="1" applyAlignment="1">
      <alignment vertical="center"/>
    </xf>
    <xf numFmtId="180" fontId="4" fillId="36" borderId="32" xfId="137" applyNumberFormat="1" applyFont="1" applyFill="1" applyBorder="1" applyAlignment="1">
      <alignment vertical="center"/>
    </xf>
    <xf numFmtId="0" fontId="13" fillId="0" borderId="0" xfId="130"/>
    <xf numFmtId="0" fontId="56" fillId="2" borderId="0" xfId="133" applyFont="1" applyFill="1" applyAlignment="1">
      <alignment horizontal="left" vertical="center"/>
    </xf>
    <xf numFmtId="174" fontId="57" fillId="2" borderId="0" xfId="134" applyFont="1" applyFill="1" applyAlignment="1"/>
    <xf numFmtId="174" fontId="54" fillId="2" borderId="0" xfId="134" applyFont="1" applyFill="1" applyAlignment="1"/>
    <xf numFmtId="174" fontId="12" fillId="2" borderId="9" xfId="134" applyFont="1" applyFill="1" applyBorder="1" applyAlignment="1"/>
    <xf numFmtId="0" fontId="13" fillId="2" borderId="9" xfId="130" applyFill="1" applyBorder="1"/>
    <xf numFmtId="174" fontId="12" fillId="2" borderId="4" xfId="134" applyFont="1" applyFill="1" applyBorder="1" applyAlignment="1"/>
    <xf numFmtId="174" fontId="12" fillId="2" borderId="35" xfId="134" applyFont="1" applyFill="1" applyBorder="1" applyAlignment="1"/>
    <xf numFmtId="174" fontId="12" fillId="2" borderId="36" xfId="134" applyFont="1" applyFill="1" applyBorder="1" applyAlignment="1">
      <alignment horizontal="right"/>
    </xf>
    <xf numFmtId="174" fontId="12" fillId="2" borderId="36" xfId="134" applyFont="1" applyFill="1" applyBorder="1" applyAlignment="1">
      <alignment horizontal="right" wrapText="1"/>
    </xf>
    <xf numFmtId="0" fontId="13" fillId="2" borderId="35" xfId="130" applyFill="1" applyBorder="1"/>
    <xf numFmtId="174" fontId="16" fillId="2" borderId="0" xfId="134" applyFont="1" applyFill="1" applyAlignment="1"/>
    <xf numFmtId="181" fontId="16" fillId="2" borderId="0" xfId="135" applyNumberFormat="1" applyFont="1" applyFill="1" applyAlignment="1">
      <alignment horizontal="right" vertical="center"/>
    </xf>
    <xf numFmtId="9" fontId="16" fillId="2" borderId="0" xfId="136" applyFont="1" applyFill="1" applyAlignment="1">
      <alignment vertical="center"/>
    </xf>
    <xf numFmtId="0" fontId="12" fillId="2" borderId="0" xfId="130" applyFont="1" applyFill="1"/>
    <xf numFmtId="174" fontId="14" fillId="2" borderId="0" xfId="134" applyFont="1" applyFill="1" applyAlignment="1"/>
    <xf numFmtId="181" fontId="12" fillId="2" borderId="0" xfId="135" applyNumberFormat="1" applyFont="1" applyFill="1" applyAlignment="1">
      <alignment horizontal="right" vertical="center"/>
    </xf>
    <xf numFmtId="174" fontId="16" fillId="2" borderId="0" xfId="134" applyFont="1" applyFill="1" applyAlignment="1">
      <alignment vertical="center"/>
    </xf>
    <xf numFmtId="174" fontId="12" fillId="2" borderId="0" xfId="134" applyFont="1" applyFill="1" applyAlignment="1">
      <alignment horizontal="left" indent="2"/>
    </xf>
    <xf numFmtId="166" fontId="12" fillId="2" borderId="0" xfId="136" applyNumberFormat="1" applyFont="1" applyFill="1" applyAlignment="1">
      <alignment vertical="center"/>
    </xf>
    <xf numFmtId="174" fontId="12" fillId="2" borderId="0" xfId="134" applyFont="1" applyFill="1" applyAlignment="1">
      <alignment horizontal="left" vertical="center" indent="2"/>
    </xf>
    <xf numFmtId="166" fontId="12" fillId="2" borderId="0" xfId="136" applyNumberFormat="1" applyFont="1" applyFill="1" applyAlignment="1">
      <alignment horizontal="right"/>
    </xf>
    <xf numFmtId="174" fontId="12" fillId="2" borderId="35" xfId="134" applyFont="1" applyFill="1" applyBorder="1" applyAlignment="1">
      <alignment horizontal="left" vertical="center" indent="2"/>
    </xf>
    <xf numFmtId="181" fontId="12" fillId="2" borderId="35" xfId="135" applyNumberFormat="1" applyFont="1" applyFill="1" applyBorder="1" applyAlignment="1">
      <alignment horizontal="right" vertical="center"/>
    </xf>
    <xf numFmtId="166" fontId="12" fillId="2" borderId="35" xfId="136" applyNumberFormat="1" applyFont="1" applyFill="1" applyBorder="1" applyAlignment="1">
      <alignment vertical="center"/>
    </xf>
    <xf numFmtId="0" fontId="12" fillId="2" borderId="35" xfId="130" applyFont="1" applyFill="1" applyBorder="1"/>
    <xf numFmtId="0" fontId="9" fillId="2" borderId="0" xfId="130" applyFont="1" applyFill="1" applyAlignment="1">
      <alignment horizontal="left"/>
    </xf>
    <xf numFmtId="174" fontId="9" fillId="2" borderId="0" xfId="134" applyFont="1" applyFill="1" applyAlignment="1">
      <alignment horizontal="right"/>
    </xf>
    <xf numFmtId="15" fontId="9" fillId="2" borderId="0" xfId="134" applyNumberFormat="1" applyFont="1" applyFill="1" applyAlignment="1">
      <alignment horizontal="right"/>
    </xf>
    <xf numFmtId="0" fontId="9" fillId="2" borderId="0" xfId="130" applyFont="1" applyFill="1"/>
    <xf numFmtId="0" fontId="59" fillId="2" borderId="0" xfId="126" applyFont="1" applyFill="1" applyAlignment="1"/>
    <xf numFmtId="174" fontId="54" fillId="2" borderId="0" xfId="134" applyFont="1" applyFill="1" applyAlignment="1">
      <alignment horizontal="left"/>
    </xf>
    <xf numFmtId="1" fontId="11" fillId="37" borderId="7" xfId="0" applyNumberFormat="1" applyFont="1" applyFill="1" applyBorder="1" applyAlignment="1">
      <alignment horizontal="right"/>
    </xf>
    <xf numFmtId="1" fontId="5" fillId="36" borderId="0" xfId="81" applyNumberFormat="1" applyFont="1" applyFill="1" applyBorder="1" applyAlignment="1">
      <alignment horizontal="right"/>
    </xf>
    <xf numFmtId="1" fontId="12" fillId="36" borderId="16" xfId="0" applyNumberFormat="1" applyFont="1" applyFill="1" applyBorder="1" applyAlignment="1">
      <alignment horizontal="center"/>
    </xf>
    <xf numFmtId="1" fontId="2" fillId="36" borderId="0" xfId="81" applyNumberFormat="1" applyFill="1"/>
    <xf numFmtId="173" fontId="0" fillId="0" borderId="16" xfId="0" applyNumberFormat="1" applyFont="1" applyBorder="1" applyAlignment="1"/>
    <xf numFmtId="0" fontId="1" fillId="0" borderId="0" xfId="137"/>
    <xf numFmtId="0" fontId="62" fillId="36" borderId="0" xfId="137" applyFont="1" applyFill="1" applyBorder="1" applyAlignment="1">
      <alignment vertical="center"/>
    </xf>
    <xf numFmtId="0" fontId="9" fillId="2" borderId="0" xfId="137" applyFont="1" applyFill="1" applyAlignment="1">
      <alignment horizontal="right"/>
    </xf>
    <xf numFmtId="15" fontId="9" fillId="2" borderId="0" xfId="137" applyNumberFormat="1" applyFont="1" applyFill="1" applyAlignment="1">
      <alignment horizontal="right"/>
    </xf>
    <xf numFmtId="17" fontId="9" fillId="2" borderId="0" xfId="137" applyNumberFormat="1" applyFont="1" applyFill="1" applyAlignment="1">
      <alignment horizontal="right"/>
    </xf>
    <xf numFmtId="0" fontId="5" fillId="36" borderId="0" xfId="137" applyFont="1" applyFill="1" applyBorder="1"/>
    <xf numFmtId="3" fontId="5" fillId="36" borderId="16" xfId="137" applyNumberFormat="1" applyFont="1" applyFill="1" applyBorder="1"/>
    <xf numFmtId="0" fontId="5" fillId="36" borderId="16" xfId="137" applyFont="1" applyFill="1" applyBorder="1"/>
    <xf numFmtId="0" fontId="5" fillId="36" borderId="16" xfId="137" applyFont="1" applyFill="1" applyBorder="1" applyAlignment="1">
      <alignment horizontal="right"/>
    </xf>
    <xf numFmtId="0" fontId="64" fillId="36" borderId="0" xfId="137" applyFont="1" applyFill="1"/>
    <xf numFmtId="3" fontId="4" fillId="36" borderId="16" xfId="137" applyNumberFormat="1" applyFont="1" applyFill="1" applyBorder="1" applyAlignment="1" applyProtection="1">
      <alignment horizontal="center" vertical="center"/>
    </xf>
    <xf numFmtId="0" fontId="9" fillId="36" borderId="0" xfId="137" applyFont="1" applyFill="1" applyBorder="1"/>
    <xf numFmtId="0" fontId="59" fillId="36" borderId="0" xfId="126" applyFont="1" applyFill="1" applyBorder="1" applyAlignment="1"/>
    <xf numFmtId="2" fontId="5" fillId="36" borderId="16" xfId="104" applyNumberFormat="1" applyFont="1" applyFill="1" applyBorder="1" applyAlignment="1" applyProtection="1">
      <alignment horizontal="right"/>
      <protection locked="0"/>
    </xf>
    <xf numFmtId="3" fontId="4" fillId="36" borderId="16" xfId="134" applyNumberFormat="1" applyFont="1" applyFill="1" applyBorder="1" applyAlignment="1" applyProtection="1">
      <alignment horizontal="right" vertical="center" wrapText="1"/>
    </xf>
    <xf numFmtId="0" fontId="59" fillId="36" borderId="0" xfId="126" applyFont="1" applyFill="1"/>
    <xf numFmtId="0" fontId="1" fillId="0" borderId="0" xfId="137"/>
    <xf numFmtId="0" fontId="4" fillId="0" borderId="20" xfId="0" applyFont="1" applyBorder="1" applyAlignment="1">
      <alignment wrapText="1"/>
    </xf>
    <xf numFmtId="3" fontId="12" fillId="37" borderId="16" xfId="47" applyNumberFormat="1" applyFont="1" applyFill="1" applyBorder="1" applyAlignment="1">
      <alignment horizontal="center" vertical="center"/>
    </xf>
    <xf numFmtId="0" fontId="5" fillId="0" borderId="18" xfId="0" applyFont="1" applyFill="1" applyBorder="1" applyAlignment="1"/>
    <xf numFmtId="167" fontId="5" fillId="0" borderId="20" xfId="0" applyNumberFormat="1" applyFont="1" applyBorder="1"/>
    <xf numFmtId="3" fontId="0" fillId="0" borderId="0" xfId="0" applyNumberFormat="1" applyFont="1" applyAlignment="1"/>
    <xf numFmtId="0" fontId="0" fillId="0" borderId="0" xfId="0" applyFont="1" applyAlignment="1"/>
    <xf numFmtId="0" fontId="14" fillId="0" borderId="0" xfId="0" applyFont="1" applyAlignment="1"/>
    <xf numFmtId="1" fontId="0" fillId="36" borderId="16" xfId="0" applyNumberFormat="1" applyFont="1" applyFill="1" applyBorder="1" applyAlignment="1">
      <alignment horizontal="center"/>
    </xf>
    <xf numFmtId="165" fontId="6" fillId="0" borderId="0" xfId="0" applyNumberFormat="1" applyFont="1" applyFill="1" applyAlignment="1"/>
    <xf numFmtId="0" fontId="0" fillId="0" borderId="0" xfId="0" applyFont="1" applyAlignment="1"/>
    <xf numFmtId="9" fontId="0" fillId="0" borderId="16" xfId="129" applyFont="1" applyBorder="1"/>
    <xf numFmtId="167" fontId="6" fillId="0" borderId="1" xfId="2" applyNumberFormat="1" applyFont="1" applyFill="1" applyBorder="1" applyAlignment="1"/>
    <xf numFmtId="167" fontId="6" fillId="0" borderId="0" xfId="2" applyNumberFormat="1" applyFont="1" applyFill="1" applyBorder="1" applyAlignment="1"/>
    <xf numFmtId="167" fontId="6" fillId="0" borderId="0" xfId="2" applyNumberFormat="1" applyFont="1" applyFill="1" applyAlignment="1"/>
    <xf numFmtId="0" fontId="12" fillId="0" borderId="20" xfId="0" applyFont="1" applyBorder="1" applyAlignment="1">
      <alignment horizontal="center"/>
    </xf>
    <xf numFmtId="0" fontId="12" fillId="0" borderId="22" xfId="0" applyFont="1" applyBorder="1" applyAlignment="1">
      <alignment horizontal="center"/>
    </xf>
    <xf numFmtId="0" fontId="50" fillId="0" borderId="1" xfId="0" applyFont="1" applyFill="1" applyBorder="1" applyAlignment="1">
      <alignment wrapText="1"/>
    </xf>
    <xf numFmtId="10" fontId="5" fillId="36" borderId="16" xfId="129" applyNumberFormat="1" applyFont="1" applyFill="1" applyBorder="1" applyAlignment="1" applyProtection="1">
      <alignment horizontal="right"/>
      <protection locked="0"/>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1" fontId="0" fillId="36" borderId="16" xfId="0" applyNumberFormat="1" applyFont="1" applyFill="1" applyBorder="1" applyAlignment="1">
      <alignment horizontal="center"/>
    </xf>
    <xf numFmtId="0" fontId="4" fillId="0" borderId="20"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16" fillId="0" borderId="16" xfId="0" applyFont="1"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16" xfId="0" applyFont="1" applyBorder="1" applyAlignment="1">
      <alignment horizontal="center"/>
    </xf>
    <xf numFmtId="1" fontId="5" fillId="0" borderId="16" xfId="0" applyNumberFormat="1" applyFont="1" applyBorder="1" applyAlignment="1">
      <alignment horizontal="center"/>
    </xf>
    <xf numFmtId="0" fontId="0" fillId="0" borderId="20" xfId="0" applyFont="1" applyBorder="1" applyAlignment="1">
      <alignment horizontal="center" wrapText="1"/>
    </xf>
    <xf numFmtId="0" fontId="0" fillId="0" borderId="21" xfId="0" applyFont="1" applyBorder="1" applyAlignment="1">
      <alignment horizontal="center" wrapText="1"/>
    </xf>
    <xf numFmtId="0" fontId="12" fillId="0" borderId="16" xfId="0" applyFont="1" applyBorder="1" applyAlignment="1">
      <alignment horizontal="center" wrapText="1"/>
    </xf>
    <xf numFmtId="0" fontId="0" fillId="0" borderId="16" xfId="0" applyFont="1" applyBorder="1" applyAlignment="1">
      <alignment horizontal="center" wrapText="1"/>
    </xf>
    <xf numFmtId="0" fontId="0" fillId="0" borderId="22" xfId="0" applyFont="1" applyBorder="1" applyAlignment="1">
      <alignment horizontal="center" wrapText="1"/>
    </xf>
    <xf numFmtId="0" fontId="5" fillId="0" borderId="17" xfId="0" applyFont="1" applyBorder="1" applyAlignment="1">
      <alignment horizontal="center"/>
    </xf>
    <xf numFmtId="0" fontId="5" fillId="0" borderId="19" xfId="0" applyFont="1" applyBorder="1" applyAlignment="1">
      <alignment horizontal="center"/>
    </xf>
    <xf numFmtId="0" fontId="5" fillId="0" borderId="0" xfId="0" applyFont="1" applyBorder="1" applyAlignment="1">
      <alignment horizontal="center" wrapText="1"/>
    </xf>
    <xf numFmtId="0" fontId="16" fillId="0" borderId="15" xfId="0" applyFont="1" applyBorder="1" applyAlignment="1">
      <alignment horizontal="center"/>
    </xf>
    <xf numFmtId="0" fontId="16" fillId="0" borderId="0" xfId="0" applyFont="1" applyBorder="1" applyAlignment="1">
      <alignment horizontal="center"/>
    </xf>
    <xf numFmtId="177" fontId="12" fillId="37" borderId="2" xfId="44" applyNumberFormat="1" applyFont="1" applyFill="1" applyBorder="1" applyAlignment="1">
      <alignment horizontal="center"/>
    </xf>
    <xf numFmtId="0" fontId="5" fillId="43" borderId="12" xfId="137" applyFont="1" applyFill="1" applyBorder="1" applyAlignment="1">
      <alignment horizontal="center" vertical="center"/>
    </xf>
    <xf numFmtId="0" fontId="5" fillId="36" borderId="12" xfId="137" applyFont="1" applyFill="1" applyBorder="1" applyAlignment="1">
      <alignment horizontal="center" vertical="center"/>
    </xf>
    <xf numFmtId="177" fontId="12" fillId="2" borderId="2" xfId="134" applyNumberFormat="1" applyFont="1" applyFill="1" applyBorder="1" applyAlignment="1">
      <alignment horizontal="center"/>
    </xf>
    <xf numFmtId="0" fontId="11" fillId="2" borderId="0" xfId="0" applyFont="1" applyFill="1" applyAlignment="1"/>
    <xf numFmtId="0" fontId="0" fillId="0" borderId="0" xfId="0" applyFont="1" applyAlignment="1"/>
    <xf numFmtId="0" fontId="16" fillId="2" borderId="8" xfId="0" applyFont="1" applyFill="1" applyBorder="1" applyAlignment="1">
      <alignment horizontal="left"/>
    </xf>
    <xf numFmtId="0" fontId="5" fillId="0" borderId="9" xfId="0" applyFont="1" applyBorder="1"/>
    <xf numFmtId="0" fontId="10" fillId="2" borderId="8" xfId="0" applyFont="1" applyFill="1" applyBorder="1" applyAlignment="1">
      <alignment horizontal="left"/>
    </xf>
    <xf numFmtId="0" fontId="15" fillId="2" borderId="0" xfId="0" applyFont="1" applyFill="1" applyAlignment="1"/>
    <xf numFmtId="0" fontId="10" fillId="4" borderId="3" xfId="0" applyFont="1" applyFill="1" applyBorder="1" applyAlignment="1">
      <alignment horizontal="left"/>
    </xf>
    <xf numFmtId="0" fontId="5" fillId="0" borderId="4" xfId="0" applyFont="1" applyBorder="1"/>
    <xf numFmtId="0" fontId="10" fillId="4" borderId="6" xfId="0" applyFont="1" applyFill="1" applyBorder="1" applyAlignment="1">
      <alignment horizontal="left"/>
    </xf>
  </cellXfs>
  <cellStyles count="28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FE" xfId="50" xr:uid="{00000000-0005-0000-0000-000000000000}"/>
    <cellStyle name="AFE 2" xfId="51" xr:uid="{00000000-0005-0000-0000-000001000000}"/>
    <cellStyle name="AFE 2 2" xfId="52" xr:uid="{00000000-0005-0000-0000-000002000000}"/>
    <cellStyle name="AFE 2 2 2" xfId="150" xr:uid="{00000000-0005-0000-0000-000002000000}"/>
    <cellStyle name="AFE 2 3" xfId="151" xr:uid="{00000000-0005-0000-0000-000003000000}"/>
    <cellStyle name="AFE 2 4" xfId="152" xr:uid="{00000000-0005-0000-0000-000004000000}"/>
    <cellStyle name="AFE 3" xfId="53" xr:uid="{00000000-0005-0000-0000-000003000000}"/>
    <cellStyle name="AFE 3 2" xfId="153" xr:uid="{00000000-0005-0000-0000-000005000000}"/>
    <cellStyle name="AFE 4" xfId="154" xr:uid="{00000000-0005-0000-0000-000006000000}"/>
    <cellStyle name="AFE 5" xfId="155" xr:uid="{00000000-0005-0000-0000-000007000000}"/>
    <cellStyle name="AFE 6" xfId="156" xr:uid="{00000000-0005-0000-0000-000008000000}"/>
    <cellStyle name="Bad" xfId="9" builtinId="27" customBuiltin="1"/>
    <cellStyle name="Bad 2" xfId="54" xr:uid="{00000000-0005-0000-0000-000004000000}"/>
    <cellStyle name="Calculation" xfId="13" builtinId="22" customBuiltin="1"/>
    <cellStyle name="Check Cell" xfId="15" builtinId="23" customBuiltin="1"/>
    <cellStyle name="Comma" xfId="2" builtinId="3"/>
    <cellStyle name="Comma 2" xfId="55" xr:uid="{00000000-0005-0000-0000-000005000000}"/>
    <cellStyle name="Comma 2 2" xfId="56" xr:uid="{00000000-0005-0000-0000-000006000000}"/>
    <cellStyle name="Comma 2 2 2" xfId="57" xr:uid="{00000000-0005-0000-0000-000007000000}"/>
    <cellStyle name="Comma 2 2 2 2" xfId="159" xr:uid="{00000000-0005-0000-0000-00000E000000}"/>
    <cellStyle name="Comma 2 2 2 3" xfId="204" xr:uid="{00000000-0005-0000-0000-000007000000}"/>
    <cellStyle name="Comma 2 2 3" xfId="158" xr:uid="{00000000-0005-0000-0000-00000D000000}"/>
    <cellStyle name="Comma 2 3" xfId="47" xr:uid="{00000000-0005-0000-0000-000008000000}"/>
    <cellStyle name="Comma 2 3 2" xfId="148" xr:uid="{00000000-0005-0000-0000-00000F000000}"/>
    <cellStyle name="Comma 2 4" xfId="58" xr:uid="{00000000-0005-0000-0000-000009000000}"/>
    <cellStyle name="Comma 2 4 2" xfId="160" xr:uid="{00000000-0005-0000-0000-000010000000}"/>
    <cellStyle name="Comma 2 4 3" xfId="203" xr:uid="{00000000-0005-0000-0000-000009000000}"/>
    <cellStyle name="Comma 2 5" xfId="141" xr:uid="{00000000-0005-0000-0000-000003000000}"/>
    <cellStyle name="Comma 2 5 2" xfId="161" xr:uid="{00000000-0005-0000-0000-000011000000}"/>
    <cellStyle name="Comma 2 6" xfId="162" xr:uid="{00000000-0005-0000-0000-000012000000}"/>
    <cellStyle name="Comma 2 7" xfId="157" xr:uid="{00000000-0005-0000-0000-00000C000000}"/>
    <cellStyle name="Comma 3" xfId="59" xr:uid="{00000000-0005-0000-0000-00000A000000}"/>
    <cellStyle name="Comma 3 2" xfId="60" xr:uid="{00000000-0005-0000-0000-00000B000000}"/>
    <cellStyle name="Comma 3 2 2" xfId="61" xr:uid="{00000000-0005-0000-0000-00000C000000}"/>
    <cellStyle name="Comma 3 2 2 2" xfId="62" xr:uid="{00000000-0005-0000-0000-00000D000000}"/>
    <cellStyle name="Comma 3 2 2 2 2" xfId="166" xr:uid="{00000000-0005-0000-0000-000016000000}"/>
    <cellStyle name="Comma 3 2 2 2 3" xfId="145" xr:uid="{00000000-0005-0000-0000-00000D000000}"/>
    <cellStyle name="Comma 3 2 2 3" xfId="165" xr:uid="{00000000-0005-0000-0000-000015000000}"/>
    <cellStyle name="Comma 3 2 3" xfId="63" xr:uid="{00000000-0005-0000-0000-00000E000000}"/>
    <cellStyle name="Comma 3 2 3 2" xfId="167" xr:uid="{00000000-0005-0000-0000-000017000000}"/>
    <cellStyle name="Comma 3 2 3 3" xfId="196" xr:uid="{00000000-0005-0000-0000-00000E000000}"/>
    <cellStyle name="Comma 3 2 4" xfId="143" xr:uid="{00000000-0005-0000-0000-000005000000}"/>
    <cellStyle name="Comma 3 2 5" xfId="164" xr:uid="{00000000-0005-0000-0000-000014000000}"/>
    <cellStyle name="Comma 3 3" xfId="64" xr:uid="{00000000-0005-0000-0000-00000F000000}"/>
    <cellStyle name="Comma 3 3 2" xfId="65" xr:uid="{00000000-0005-0000-0000-000010000000}"/>
    <cellStyle name="Comma 3 3 2 2" xfId="169" xr:uid="{00000000-0005-0000-0000-000019000000}"/>
    <cellStyle name="Comma 3 3 2 3" xfId="190" xr:uid="{00000000-0005-0000-0000-000010000000}"/>
    <cellStyle name="Comma 3 3 3" xfId="168" xr:uid="{00000000-0005-0000-0000-000018000000}"/>
    <cellStyle name="Comma 3 4" xfId="66" xr:uid="{00000000-0005-0000-0000-000011000000}"/>
    <cellStyle name="Comma 3 4 2" xfId="170" xr:uid="{00000000-0005-0000-0000-00001A000000}"/>
    <cellStyle name="Comma 3 4 3" xfId="189" xr:uid="{00000000-0005-0000-0000-000011000000}"/>
    <cellStyle name="Comma 3 5" xfId="142" xr:uid="{00000000-0005-0000-0000-000004000000}"/>
    <cellStyle name="Comma 3 5 2" xfId="171" xr:uid="{00000000-0005-0000-0000-00001B000000}"/>
    <cellStyle name="Comma 3 6" xfId="163" xr:uid="{00000000-0005-0000-0000-000013000000}"/>
    <cellStyle name="Comma 4" xfId="67" xr:uid="{00000000-0005-0000-0000-000012000000}"/>
    <cellStyle name="Comma 4 2" xfId="68" xr:uid="{00000000-0005-0000-0000-000013000000}"/>
    <cellStyle name="Comma 4 2 2" xfId="173" xr:uid="{00000000-0005-0000-0000-00001E000000}"/>
    <cellStyle name="Comma 4 3" xfId="69" xr:uid="{00000000-0005-0000-0000-000014000000}"/>
    <cellStyle name="Comma 4 3 2" xfId="175" xr:uid="{00000000-0005-0000-0000-000020000000}"/>
    <cellStyle name="Comma 4 3 3" xfId="174" xr:uid="{00000000-0005-0000-0000-00001F000000}"/>
    <cellStyle name="Comma 4 4" xfId="70" xr:uid="{00000000-0005-0000-0000-000015000000}"/>
    <cellStyle name="Comma 4 4 2" xfId="71" xr:uid="{00000000-0005-0000-0000-000016000000}"/>
    <cellStyle name="Comma 4 4 2 2" xfId="177" xr:uid="{00000000-0005-0000-0000-000022000000}"/>
    <cellStyle name="Comma 4 4 2 3" xfId="149" xr:uid="{00000000-0005-0000-0000-000016000000}"/>
    <cellStyle name="Comma 4 4 3" xfId="178" xr:uid="{00000000-0005-0000-0000-000023000000}"/>
    <cellStyle name="Comma 4 4 4" xfId="176" xr:uid="{00000000-0005-0000-0000-000021000000}"/>
    <cellStyle name="Comma 4 5" xfId="179" xr:uid="{00000000-0005-0000-0000-000024000000}"/>
    <cellStyle name="Comma 4 6" xfId="180" xr:uid="{00000000-0005-0000-0000-000025000000}"/>
    <cellStyle name="Comma 4 7" xfId="172" xr:uid="{00000000-0005-0000-0000-00001C000000}"/>
    <cellStyle name="Comma 5" xfId="72" xr:uid="{00000000-0005-0000-0000-000017000000}"/>
    <cellStyle name="Comma 5 2" xfId="181" xr:uid="{00000000-0005-0000-0000-000026000000}"/>
    <cellStyle name="Comma 6" xfId="73" xr:uid="{00000000-0005-0000-0000-000018000000}"/>
    <cellStyle name="Comma 6 2" xfId="182" xr:uid="{00000000-0005-0000-0000-000027000000}"/>
    <cellStyle name="Comma 6 3" xfId="263" xr:uid="{00000000-0005-0000-0000-000018000000}"/>
    <cellStyle name="Comma 7" xfId="74" xr:uid="{00000000-0005-0000-0000-000019000000}"/>
    <cellStyle name="Comma 7 2" xfId="183" xr:uid="{00000000-0005-0000-0000-000028000000}"/>
    <cellStyle name="Comma 7 3" xfId="264" xr:uid="{00000000-0005-0000-0000-000019000000}"/>
    <cellStyle name="Comma 8" xfId="138" xr:uid="{00000000-0005-0000-0000-00008F000000}"/>
    <cellStyle name="Comma 9" xfId="146" xr:uid="{00000000-0005-0000-0000-0000A2000000}"/>
    <cellStyle name="Currency 2" xfId="75" xr:uid="{00000000-0005-0000-0000-00001A000000}"/>
    <cellStyle name="Currency 2 2" xfId="76" xr:uid="{00000000-0005-0000-0000-00001B000000}"/>
    <cellStyle name="Currency 2 2 2" xfId="77" xr:uid="{00000000-0005-0000-0000-00001C000000}"/>
    <cellStyle name="Currency 2 2 2 2" xfId="185" xr:uid="{00000000-0005-0000-0000-00002B000000}"/>
    <cellStyle name="Currency 2 2 2 3" xfId="265" xr:uid="{00000000-0005-0000-0000-00001C000000}"/>
    <cellStyle name="Currency 2 2 3" xfId="186" xr:uid="{00000000-0005-0000-0000-00002C000000}"/>
    <cellStyle name="Currency 2 3" xfId="187" xr:uid="{00000000-0005-0000-0000-00002D000000}"/>
    <cellStyle name="Currency 2 4" xfId="184" xr:uid="{00000000-0005-0000-0000-000029000000}"/>
    <cellStyle name="Currency 3" xfId="78" xr:uid="{00000000-0005-0000-0000-00001D000000}"/>
    <cellStyle name="Currency 3 2" xfId="188" xr:uid="{00000000-0005-0000-0000-00002E000000}"/>
    <cellStyle name="Currency 3 3" xfId="266" xr:uid="{00000000-0005-0000-0000-00001D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2" xfId="79" xr:uid="{00000000-0005-0000-0000-00001F000000}"/>
    <cellStyle name="Hyperlink 2 2" xfId="191" xr:uid="{00000000-0005-0000-0000-000031000000}"/>
    <cellStyle name="Hyperlink 2 3" xfId="192" xr:uid="{00000000-0005-0000-0000-000032000000}"/>
    <cellStyle name="Hyperlink 3" xfId="80" xr:uid="{00000000-0005-0000-0000-000020000000}"/>
    <cellStyle name="Hyperlink 3 2" xfId="194" xr:uid="{00000000-0005-0000-0000-000034000000}"/>
    <cellStyle name="Hyperlink 3 3" xfId="195" xr:uid="{00000000-0005-0000-0000-000035000000}"/>
    <cellStyle name="Hyperlink 3 4" xfId="193" xr:uid="{00000000-0005-0000-0000-000033000000}"/>
    <cellStyle name="Hyperlink 4" xfId="49" xr:uid="{00000000-0005-0000-0000-000021000000}"/>
    <cellStyle name="Hyperlink 4 2" xfId="132" xr:uid="{00000000-0005-0000-0000-000088000000}"/>
    <cellStyle name="Hyperlink 5" xfId="126" xr:uid="{00000000-0005-0000-0000-000022000000}"/>
    <cellStyle name="Hyperlink 6" xfId="197" xr:uid="{00000000-0005-0000-0000-000038000000}"/>
    <cellStyle name="Input" xfId="11" builtinId="20" customBuiltin="1"/>
    <cellStyle name="Linked Cell" xfId="14" builtinId="24" customBuiltin="1"/>
    <cellStyle name="Neutral" xfId="10" builtinId="28" customBuiltin="1"/>
    <cellStyle name="Normal" xfId="0" builtinId="0"/>
    <cellStyle name="Normal 10" xfId="81" xr:uid="{00000000-0005-0000-0000-000024000000}"/>
    <cellStyle name="Normal 10 2" xfId="82" xr:uid="{00000000-0005-0000-0000-000025000000}"/>
    <cellStyle name="Normal 10 2 2" xfId="268" xr:uid="{00000000-0005-0000-0000-000025000000}"/>
    <cellStyle name="Normal 10 3" xfId="198" xr:uid="{00000000-0005-0000-0000-00003A000000}"/>
    <cellStyle name="Normal 10 4" xfId="267" xr:uid="{00000000-0005-0000-0000-000024000000}"/>
    <cellStyle name="Normal 11" xfId="83" xr:uid="{00000000-0005-0000-0000-000026000000}"/>
    <cellStyle name="Normal 11 2" xfId="84" xr:uid="{00000000-0005-0000-0000-000027000000}"/>
    <cellStyle name="Normal 11 2 2" xfId="270" xr:uid="{00000000-0005-0000-0000-000027000000}"/>
    <cellStyle name="Normal 11 3" xfId="133" xr:uid="{00000000-0005-0000-0000-00008A000000}"/>
    <cellStyle name="Normal 11 4" xfId="269" xr:uid="{00000000-0005-0000-0000-000026000000}"/>
    <cellStyle name="Normal 12" xfId="85" xr:uid="{00000000-0005-0000-0000-000028000000}"/>
    <cellStyle name="Normal 12 2" xfId="86" xr:uid="{00000000-0005-0000-0000-000029000000}"/>
    <cellStyle name="Normal 12 2 2" xfId="272" xr:uid="{00000000-0005-0000-0000-000029000000}"/>
    <cellStyle name="Normal 12 3" xfId="199" xr:uid="{00000000-0005-0000-0000-00003C000000}"/>
    <cellStyle name="Normal 12 4" xfId="271" xr:uid="{00000000-0005-0000-0000-000028000000}"/>
    <cellStyle name="Normal 13" xfId="44" xr:uid="{00000000-0005-0000-0000-00002A000000}"/>
    <cellStyle name="Normal 13 2" xfId="134" xr:uid="{00000000-0005-0000-0000-00008B000000}"/>
    <cellStyle name="Normal 14" xfId="87" xr:uid="{00000000-0005-0000-0000-00002B000000}"/>
    <cellStyle name="Normal 14 2" xfId="200" xr:uid="{00000000-0005-0000-0000-00003E000000}"/>
    <cellStyle name="Normal 15" xfId="88" xr:uid="{00000000-0005-0000-0000-00002C000000}"/>
    <cellStyle name="Normal 15 2" xfId="201" xr:uid="{00000000-0005-0000-0000-00003F000000}"/>
    <cellStyle name="Normal 15 3" xfId="273" xr:uid="{00000000-0005-0000-0000-00002C000000}"/>
    <cellStyle name="Normal 16" xfId="89" xr:uid="{00000000-0005-0000-0000-00002D000000}"/>
    <cellStyle name="Normal 17" xfId="43" xr:uid="{00000000-0005-0000-0000-000053000000}"/>
    <cellStyle name="Normal 17 2" xfId="202" xr:uid="{00000000-0005-0000-0000-000041000000}"/>
    <cellStyle name="Normal 18" xfId="130" xr:uid="{00000000-0005-0000-0000-000089000000}"/>
    <cellStyle name="Normal 19" xfId="137" xr:uid="{00000000-0005-0000-0000-000093000000}"/>
    <cellStyle name="Normal 2" xfId="1" xr:uid="{00000000-0005-0000-0000-00002F000000}"/>
    <cellStyle name="Normal 2 2" xfId="91" xr:uid="{00000000-0005-0000-0000-00002F000000}"/>
    <cellStyle name="Normal 2 2 2" xfId="92" xr:uid="{00000000-0005-0000-0000-000030000000}"/>
    <cellStyle name="Normal 2 2 2 2" xfId="205" xr:uid="{00000000-0005-0000-0000-000045000000}"/>
    <cellStyle name="Normal 2 2 3" xfId="144" xr:uid="{00000000-0005-0000-0000-000009000000}"/>
    <cellStyle name="Normal 2 2 4" xfId="206" xr:uid="{00000000-0005-0000-0000-000047000000}"/>
    <cellStyle name="Normal 2 2 5" xfId="207" xr:uid="{00000000-0005-0000-0000-000048000000}"/>
    <cellStyle name="Normal 2 3" xfId="93" xr:uid="{00000000-0005-0000-0000-000031000000}"/>
    <cellStyle name="Normal 2 3 2" xfId="94" xr:uid="{00000000-0005-0000-0000-000032000000}"/>
    <cellStyle name="Normal 2 3 2 2" xfId="209" xr:uid="{00000000-0005-0000-0000-00004A000000}"/>
    <cellStyle name="Normal 2 3 2 3" xfId="275" xr:uid="{00000000-0005-0000-0000-000032000000}"/>
    <cellStyle name="Normal 2 3 3" xfId="208" xr:uid="{00000000-0005-0000-0000-000049000000}"/>
    <cellStyle name="Normal 2 3 4" xfId="274" xr:uid="{00000000-0005-0000-0000-000031000000}"/>
    <cellStyle name="Normal 2 4" xfId="95" xr:uid="{00000000-0005-0000-0000-000033000000}"/>
    <cellStyle name="Normal 2 4 2" xfId="210" xr:uid="{00000000-0005-0000-0000-00004B000000}"/>
    <cellStyle name="Normal 2 5" xfId="90" xr:uid="{00000000-0005-0000-0000-00002E000000}"/>
    <cellStyle name="Normal 2 5 2" xfId="211" xr:uid="{00000000-0005-0000-0000-00004C000000}"/>
    <cellStyle name="Normal 2 6" xfId="212" xr:uid="{00000000-0005-0000-0000-00004D000000}"/>
    <cellStyle name="Normal 2_Table 2" xfId="96" xr:uid="{00000000-0005-0000-0000-000034000000}"/>
    <cellStyle name="Normal 3" xfId="97" xr:uid="{00000000-0005-0000-0000-000035000000}"/>
    <cellStyle name="Normal 3 2" xfId="98" xr:uid="{00000000-0005-0000-0000-000036000000}"/>
    <cellStyle name="Normal 3 2 2" xfId="99" xr:uid="{00000000-0005-0000-0000-000037000000}"/>
    <cellStyle name="Normal 3 2 2 2" xfId="214" xr:uid="{00000000-0005-0000-0000-000052000000}"/>
    <cellStyle name="Normal 3 2 3" xfId="215" xr:uid="{00000000-0005-0000-0000-000053000000}"/>
    <cellStyle name="Normal 3 2 4" xfId="216" xr:uid="{00000000-0005-0000-0000-000054000000}"/>
    <cellStyle name="Normal 3 2 5" xfId="213" xr:uid="{00000000-0005-0000-0000-000050000000}"/>
    <cellStyle name="Normal 3 3" xfId="100" xr:uid="{00000000-0005-0000-0000-000038000000}"/>
    <cellStyle name="Normal 3 3 2" xfId="101" xr:uid="{00000000-0005-0000-0000-000039000000}"/>
    <cellStyle name="Normal 3 3 2 2" xfId="218" xr:uid="{00000000-0005-0000-0000-000056000000}"/>
    <cellStyle name="Normal 3 3 2 3" xfId="277" xr:uid="{00000000-0005-0000-0000-000039000000}"/>
    <cellStyle name="Normal 3 3 3" xfId="217" xr:uid="{00000000-0005-0000-0000-000055000000}"/>
    <cellStyle name="Normal 3 3 4" xfId="276" xr:uid="{00000000-0005-0000-0000-000038000000}"/>
    <cellStyle name="Normal 3 4" xfId="102" xr:uid="{00000000-0005-0000-0000-00003A000000}"/>
    <cellStyle name="Normal 3 4 2" xfId="220" xr:uid="{00000000-0005-0000-0000-000058000000}"/>
    <cellStyle name="Normal 3 4 3" xfId="219" xr:uid="{00000000-0005-0000-0000-000057000000}"/>
    <cellStyle name="Normal 3 5" xfId="140" xr:uid="{00000000-0005-0000-0000-00000B000000}"/>
    <cellStyle name="Normal 3 5 2" xfId="222" xr:uid="{00000000-0005-0000-0000-00005A000000}"/>
    <cellStyle name="Normal 3 5 3" xfId="221" xr:uid="{00000000-0005-0000-0000-000059000000}"/>
    <cellStyle name="Normal 3 6" xfId="223" xr:uid="{00000000-0005-0000-0000-00005B000000}"/>
    <cellStyle name="Normal 4" xfId="103" xr:uid="{00000000-0005-0000-0000-00003B000000}"/>
    <cellStyle name="Normal 4 2" xfId="104" xr:uid="{00000000-0005-0000-0000-00003C000000}"/>
    <cellStyle name="Normal 4 2 2" xfId="224" xr:uid="{00000000-0005-0000-0000-00005E000000}"/>
    <cellStyle name="Normal 4 3" xfId="225" xr:uid="{00000000-0005-0000-0000-00005F000000}"/>
    <cellStyle name="Normal 4 3 2" xfId="226" xr:uid="{00000000-0005-0000-0000-000060000000}"/>
    <cellStyle name="Normal 4 4" xfId="227" xr:uid="{00000000-0005-0000-0000-000061000000}"/>
    <cellStyle name="Normal 5" xfId="105" xr:uid="{00000000-0005-0000-0000-00003D000000}"/>
    <cellStyle name="Normal 5 2" xfId="106" xr:uid="{00000000-0005-0000-0000-00003E000000}"/>
    <cellStyle name="Normal 5 2 2" xfId="107" xr:uid="{00000000-0005-0000-0000-00003F000000}"/>
    <cellStyle name="Normal 5 2 2 2" xfId="230" xr:uid="{00000000-0005-0000-0000-000065000000}"/>
    <cellStyle name="Normal 5 2 3" xfId="231" xr:uid="{00000000-0005-0000-0000-000066000000}"/>
    <cellStyle name="Normal 5 2 4" xfId="232" xr:uid="{00000000-0005-0000-0000-000067000000}"/>
    <cellStyle name="Normal 5 2 5" xfId="229" xr:uid="{00000000-0005-0000-0000-000063000000}"/>
    <cellStyle name="Normal 5 3" xfId="108" xr:uid="{00000000-0005-0000-0000-000040000000}"/>
    <cellStyle name="Normal 5 3 2" xfId="234" xr:uid="{00000000-0005-0000-0000-000069000000}"/>
    <cellStyle name="Normal 5 3 3" xfId="233" xr:uid="{00000000-0005-0000-0000-000068000000}"/>
    <cellStyle name="Normal 5 4" xfId="235" xr:uid="{00000000-0005-0000-0000-00006A000000}"/>
    <cellStyle name="Normal 5 4 2" xfId="236" xr:uid="{00000000-0005-0000-0000-00006B000000}"/>
    <cellStyle name="Normal 5 5" xfId="237" xr:uid="{00000000-0005-0000-0000-00006C000000}"/>
    <cellStyle name="Normal 5 6" xfId="238" xr:uid="{00000000-0005-0000-0000-00006D000000}"/>
    <cellStyle name="Normal 5 7" xfId="228" xr:uid="{00000000-0005-0000-0000-000062000000}"/>
    <cellStyle name="Normal 6" xfId="109" xr:uid="{00000000-0005-0000-0000-000041000000}"/>
    <cellStyle name="Normal 6 2" xfId="110" xr:uid="{00000000-0005-0000-0000-000042000000}"/>
    <cellStyle name="Normal 6 2 2" xfId="111" xr:uid="{00000000-0005-0000-0000-000043000000}"/>
    <cellStyle name="Normal 6 2 2 2" xfId="241" xr:uid="{00000000-0005-0000-0000-000070000000}"/>
    <cellStyle name="Normal 6 2 2 3" xfId="279" xr:uid="{00000000-0005-0000-0000-000043000000}"/>
    <cellStyle name="Normal 6 2 3" xfId="240" xr:uid="{00000000-0005-0000-0000-00006F000000}"/>
    <cellStyle name="Normal 6 2 4" xfId="278" xr:uid="{00000000-0005-0000-0000-000042000000}"/>
    <cellStyle name="Normal 6 3" xfId="242" xr:uid="{00000000-0005-0000-0000-000071000000}"/>
    <cellStyle name="Normal 6 3 2" xfId="243" xr:uid="{00000000-0005-0000-0000-000072000000}"/>
    <cellStyle name="Normal 6 4" xfId="244" xr:uid="{00000000-0005-0000-0000-000073000000}"/>
    <cellStyle name="Normal 6 5" xfId="245" xr:uid="{00000000-0005-0000-0000-000074000000}"/>
    <cellStyle name="Normal 6 6" xfId="239" xr:uid="{00000000-0005-0000-0000-00006E000000}"/>
    <cellStyle name="Normal 7" xfId="112" xr:uid="{00000000-0005-0000-0000-000044000000}"/>
    <cellStyle name="Normal 7 2" xfId="113" xr:uid="{00000000-0005-0000-0000-000045000000}"/>
    <cellStyle name="Normal 7 2 2" xfId="114" xr:uid="{00000000-0005-0000-0000-000046000000}"/>
    <cellStyle name="Normal 7 2 2 2" xfId="248" xr:uid="{00000000-0005-0000-0000-000077000000}"/>
    <cellStyle name="Normal 7 2 2 3" xfId="281" xr:uid="{00000000-0005-0000-0000-000046000000}"/>
    <cellStyle name="Normal 7 2 3" xfId="247" xr:uid="{00000000-0005-0000-0000-000076000000}"/>
    <cellStyle name="Normal 7 2 4" xfId="280" xr:uid="{00000000-0005-0000-0000-000045000000}"/>
    <cellStyle name="Normal 7 3" xfId="249" xr:uid="{00000000-0005-0000-0000-000078000000}"/>
    <cellStyle name="Normal 7 4" xfId="250" xr:uid="{00000000-0005-0000-0000-000079000000}"/>
    <cellStyle name="Normal 7 5" xfId="246" xr:uid="{00000000-0005-0000-0000-000075000000}"/>
    <cellStyle name="Normal 8" xfId="115" xr:uid="{00000000-0005-0000-0000-000047000000}"/>
    <cellStyle name="Normal 8 2" xfId="252" xr:uid="{00000000-0005-0000-0000-00007B000000}"/>
    <cellStyle name="Normal 8 3" xfId="251" xr:uid="{00000000-0005-0000-0000-00007A000000}"/>
    <cellStyle name="Normal 9" xfId="45" xr:uid="{00000000-0005-0000-0000-000048000000}"/>
    <cellStyle name="Normal 9 2" xfId="116" xr:uid="{00000000-0005-0000-0000-000049000000}"/>
    <cellStyle name="Normal 9 2 2" xfId="253" xr:uid="{00000000-0005-0000-0000-00007D000000}"/>
    <cellStyle name="Normal 9 2 3" xfId="282" xr:uid="{00000000-0005-0000-0000-000049000000}"/>
    <cellStyle name="Normal 9 3" xfId="135" xr:uid="{00000000-0005-0000-0000-00008C000000}"/>
    <cellStyle name="Normal 9 4" xfId="147" xr:uid="{00000000-0005-0000-0000-000048000000}"/>
    <cellStyle name="normální_CZDA 2012 - příklad" xfId="255" xr:uid="{00000000-0005-0000-0000-000081000000}"/>
    <cellStyle name="Note 2" xfId="128" xr:uid="{00000000-0005-0000-0000-000089000000}"/>
    <cellStyle name="Output" xfId="12" builtinId="21" customBuiltin="1"/>
    <cellStyle name="Percent" xfId="129" builtinId="5"/>
    <cellStyle name="Percent 10" xfId="139" xr:uid="{00000000-0005-0000-0000-00009A000000}"/>
    <cellStyle name="Percent 2" xfId="117" xr:uid="{00000000-0005-0000-0000-00004C000000}"/>
    <cellStyle name="Percent 2 2" xfId="118" xr:uid="{00000000-0005-0000-0000-00004D000000}"/>
    <cellStyle name="Percent 2 2 2" xfId="256" xr:uid="{00000000-0005-0000-0000-000084000000}"/>
    <cellStyle name="Percent 2 3" xfId="257" xr:uid="{00000000-0005-0000-0000-000085000000}"/>
    <cellStyle name="Percent 3" xfId="46" xr:uid="{00000000-0005-0000-0000-00004E000000}"/>
    <cellStyle name="Percent 3 2" xfId="119" xr:uid="{00000000-0005-0000-0000-00004F000000}"/>
    <cellStyle name="Percent 3 2 2" xfId="283" xr:uid="{00000000-0005-0000-0000-00004F000000}"/>
    <cellStyle name="Percent 3 3" xfId="258" xr:uid="{00000000-0005-0000-0000-000086000000}"/>
    <cellStyle name="Percent 3 4" xfId="254" xr:uid="{00000000-0005-0000-0000-00004E000000}"/>
    <cellStyle name="Percent 4" xfId="120" xr:uid="{00000000-0005-0000-0000-000050000000}"/>
    <cellStyle name="Percent 4 2" xfId="121" xr:uid="{00000000-0005-0000-0000-000051000000}"/>
    <cellStyle name="Percent 4 2 2" xfId="285" xr:uid="{00000000-0005-0000-0000-000051000000}"/>
    <cellStyle name="Percent 4 3" xfId="259" xr:uid="{00000000-0005-0000-0000-000087000000}"/>
    <cellStyle name="Percent 4 4" xfId="284" xr:uid="{00000000-0005-0000-0000-000050000000}"/>
    <cellStyle name="Percent 5" xfId="122" xr:uid="{00000000-0005-0000-0000-000052000000}"/>
    <cellStyle name="Percent 5 2" xfId="123" xr:uid="{00000000-0005-0000-0000-000053000000}"/>
    <cellStyle name="Percent 5 2 2" xfId="287" xr:uid="{00000000-0005-0000-0000-000053000000}"/>
    <cellStyle name="Percent 5 3" xfId="260" xr:uid="{00000000-0005-0000-0000-000088000000}"/>
    <cellStyle name="Percent 5 4" xfId="286" xr:uid="{00000000-0005-0000-0000-000052000000}"/>
    <cellStyle name="Percent 6" xfId="48" xr:uid="{00000000-0005-0000-0000-000054000000}"/>
    <cellStyle name="Percent 6 2" xfId="136" xr:uid="{00000000-0005-0000-0000-00008E000000}"/>
    <cellStyle name="Percent 7" xfId="124" xr:uid="{00000000-0005-0000-0000-000055000000}"/>
    <cellStyle name="Percent 7 2" xfId="261" xr:uid="{00000000-0005-0000-0000-00008A000000}"/>
    <cellStyle name="Percent 8" xfId="127" xr:uid="{00000000-0005-0000-0000-00007B000000}"/>
    <cellStyle name="Percent 9" xfId="131" xr:uid="{00000000-0005-0000-0000-00008D000000}"/>
    <cellStyle name="Standard_crs++_debtDR_VOR" xfId="125" xr:uid="{00000000-0005-0000-0000-000056000000}"/>
    <cellStyle name="Title" xfId="3" builtinId="15" customBuiltin="1"/>
    <cellStyle name="Total" xfId="18" builtinId="25" customBuiltin="1"/>
    <cellStyle name="Tusental 3" xfId="262" xr:uid="{00000000-0005-0000-0000-00008C000000}"/>
    <cellStyle name="Warning Text" xfId="16" builtinId="11" customBuiltin="1"/>
  </cellStyles>
  <dxfs count="55">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auto="1"/>
      </font>
      <fill>
        <patternFill patternType="none">
          <fgColor indexed="64"/>
          <bgColor auto="1"/>
        </patternFill>
      </fill>
      <alignmen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auto="1"/>
      </font>
      <fill>
        <patternFill patternType="none">
          <fgColor indexed="64"/>
          <bgColor auto="1"/>
        </patternFill>
      </fill>
      <alignmen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165" formatCode="_-* #,##0.00_-;\-* #,##0.0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1"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0"/>
        <color theme="0"/>
        <name val="Calibri"/>
        <family val="2"/>
        <scheme val="none"/>
      </font>
      <fill>
        <patternFill patternType="none">
          <fgColor indexed="64"/>
          <bgColor auto="1"/>
        </patternFill>
      </fill>
      <alignment horizontal="general" vertical="bottom" textRotation="0" wrapText="1"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0"/>
        <color auto="1"/>
        <name val="Calibri"/>
        <family val="2"/>
        <scheme val="none"/>
      </font>
      <numFmt numFmtId="167"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167"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0"/>
        <color rgb="FFFFFFFF"/>
        <name val="Calibri"/>
        <family val="2"/>
        <scheme val="none"/>
      </font>
      <fill>
        <patternFill patternType="none">
          <fgColor indexed="64"/>
          <bgColor auto="1"/>
        </patternFill>
      </fill>
      <alignment horizontal="general" vertical="bottom" textRotation="0" wrapText="0" indent="0" justifyLastLine="0" shrinkToFit="0" readingOrder="0"/>
    </dxf>
    <dxf>
      <fill>
        <patternFill patternType="solid">
          <fgColor rgb="FFE8F0FE"/>
          <bgColor rgb="FFE8F0FE"/>
        </patternFill>
      </fill>
    </dxf>
    <dxf>
      <fill>
        <patternFill patternType="solid">
          <fgColor rgb="FFFFFFFF"/>
          <bgColor rgb="FFFFFFFF"/>
        </patternFill>
      </fill>
    </dxf>
    <dxf>
      <fill>
        <patternFill patternType="solid">
          <fgColor rgb="FFACC9FE"/>
          <bgColor rgb="FFACC9FE"/>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ACC9FE"/>
          <bgColor rgb="FFACC9FE"/>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7" defaultTableStyle="TableStyleMedium2" defaultPivotStyle="PivotStyleLight16">
    <tableStyle name="By Department-style" pivot="0" count="3" xr9:uid="{00000000-0011-0000-FFFF-FFFF00000000}">
      <tableStyleElement type="headerRow" dxfId="54"/>
      <tableStyleElement type="firstRowStripe" dxfId="53"/>
      <tableStyleElement type="secondRowStripe" dxfId="52"/>
    </tableStyle>
    <tableStyle name="Reviews by title-style" pivot="0" count="3" xr9:uid="{00000000-0011-0000-FFFF-FFFF01000000}">
      <tableStyleElement type="totalRow" dxfId="51"/>
      <tableStyleElement type="firstRowStripe" dxfId="50"/>
      <tableStyleElement type="secondRowStripe" dxfId="49"/>
    </tableStyle>
    <tableStyle name="Reviews by title-style 2" pivot="0" count="3" xr9:uid="{00000000-0011-0000-FFFF-FFFF02000000}">
      <tableStyleElement type="headerRow" dxfId="48"/>
      <tableStyleElement type="firstRowStripe" dxfId="47"/>
      <tableStyleElement type="secondRowStripe" dxfId="46"/>
    </tableStyle>
    <tableStyle name="All reviews (2012-2016)-style" pivot="0" count="3" xr9:uid="{00000000-0011-0000-FFFF-FFFF03000000}">
      <tableStyleElement type="headerRow" dxfId="45"/>
      <tableStyleElement type="firstRowStripe" dxfId="44"/>
      <tableStyleElement type="secondRowStripe" dxfId="43"/>
    </tableStyle>
    <tableStyle name="Reviews by question-style" pivot="0" count="3" xr9:uid="{00000000-0011-0000-FFFF-FFFF04000000}">
      <tableStyleElement type="headerRow" dxfId="42"/>
      <tableStyleElement type="firstRowStripe" dxfId="41"/>
      <tableStyleElement type="secondRowStripe" dxfId="40"/>
    </tableStyle>
    <tableStyle name="Reviews by department-style" pivot="0" count="3" xr9:uid="{00000000-0011-0000-FFFF-FFFF05000000}">
      <tableStyleElement type="headerRow" dxfId="39"/>
      <tableStyleElement type="firstRowStripe" dxfId="38"/>
      <tableStyleElement type="secondRowStripe" dxfId="37"/>
    </tableStyle>
    <tableStyle name="Reviews by department-style 2" pivot="0" count="3" xr9:uid="{00000000-0011-0000-FFFF-FFFF06000000}">
      <tableStyleElement type="totalRow" dxfId="36"/>
      <tableStyleElement type="firstRowStripe" dxfId="35"/>
      <tableStyleElement type="secondRowStripe" dxfId="34"/>
    </tableStyle>
  </tableStyles>
  <colors>
    <mruColors>
      <color rgb="FFFE8002"/>
      <color rgb="FFDDE200"/>
      <color rgb="FF33CCCC"/>
      <color rgb="FF912EA2"/>
      <color rgb="FFD7EE00"/>
      <color rgb="FFFF9393"/>
      <color rgb="FFFFC081"/>
      <color rgb="FFFBFF65"/>
      <color rgb="FFFFABAB"/>
      <color rgb="FFC7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56314835645544"/>
          <c:y val="0.17131639722863742"/>
          <c:w val="0.86588129608798903"/>
          <c:h val="0.53694313614955169"/>
        </c:manualLayout>
      </c:layout>
      <c:barChart>
        <c:barDir val="col"/>
        <c:grouping val="stacked"/>
        <c:varyColors val="0"/>
        <c:ser>
          <c:idx val="0"/>
          <c:order val="0"/>
          <c:tx>
            <c:strRef>
              <c:f>'Fig2'!$A$4</c:f>
              <c:strCache>
                <c:ptCount val="1"/>
                <c:pt idx="0">
                  <c:v>Green</c:v>
                </c:pt>
              </c:strCache>
            </c:strRef>
          </c:tx>
          <c:spPr>
            <a:solidFill>
              <a:srgbClr val="00B050"/>
            </a:solidFill>
            <a:ln>
              <a:noFill/>
            </a:ln>
            <a:effectLst/>
          </c:spPr>
          <c:invertIfNegative val="0"/>
          <c:cat>
            <c:multiLvlStrRef>
              <c:f>'Fig2'!$B$2:$Y$3</c:f>
              <c:multiLvlStrCache>
                <c:ptCount val="24"/>
                <c:lvl>
                  <c:pt idx="0">
                    <c:v>Directly</c:v>
                  </c:pt>
                  <c:pt idx="1">
                    <c:v>Indirectly</c:v>
                  </c:pt>
                  <c:pt idx="2">
                    <c:v>UK Aid</c:v>
                  </c:pt>
                  <c:pt idx="3">
                    <c:v>Directly</c:v>
                  </c:pt>
                  <c:pt idx="4">
                    <c:v>Indirectly</c:v>
                  </c:pt>
                  <c:pt idx="5">
                    <c:v>UK Aid</c:v>
                  </c:pt>
                  <c:pt idx="6">
                    <c:v>Directly</c:v>
                  </c:pt>
                  <c:pt idx="7">
                    <c:v>Indirectly</c:v>
                  </c:pt>
                  <c:pt idx="8">
                    <c:v>UK Aid</c:v>
                  </c:pt>
                  <c:pt idx="9">
                    <c:v>Directly</c:v>
                  </c:pt>
                  <c:pt idx="10">
                    <c:v>Indirectly</c:v>
                  </c:pt>
                  <c:pt idx="11">
                    <c:v>UK Aid</c:v>
                  </c:pt>
                  <c:pt idx="12">
                    <c:v>Directly</c:v>
                  </c:pt>
                  <c:pt idx="13">
                    <c:v>Indirectly</c:v>
                  </c:pt>
                  <c:pt idx="14">
                    <c:v>UK Aid</c:v>
                  </c:pt>
                  <c:pt idx="15">
                    <c:v>Directly</c:v>
                  </c:pt>
                  <c:pt idx="16">
                    <c:v>Indirectly</c:v>
                  </c:pt>
                  <c:pt idx="17">
                    <c:v>UK Aid</c:v>
                  </c:pt>
                  <c:pt idx="18">
                    <c:v>Directly</c:v>
                  </c:pt>
                  <c:pt idx="19">
                    <c:v>Indirectly</c:v>
                  </c:pt>
                  <c:pt idx="20">
                    <c:v>UK Aid</c:v>
                  </c:pt>
                  <c:pt idx="21">
                    <c:v>Directly</c:v>
                  </c:pt>
                  <c:pt idx="22">
                    <c:v>Indirectly</c:v>
                  </c:pt>
                  <c:pt idx="23">
                    <c:v>UK Aid</c:v>
                  </c:pt>
                </c:lvl>
                <c:lvl>
                  <c:pt idx="0">
                    <c:v>2011</c:v>
                  </c:pt>
                  <c:pt idx="3">
                    <c:v>2012</c:v>
                  </c:pt>
                  <c:pt idx="6">
                    <c:v>2013</c:v>
                  </c:pt>
                  <c:pt idx="9">
                    <c:v>2014</c:v>
                  </c:pt>
                  <c:pt idx="12">
                    <c:v>2015</c:v>
                  </c:pt>
                  <c:pt idx="15">
                    <c:v>2016</c:v>
                  </c:pt>
                  <c:pt idx="18">
                    <c:v>2017</c:v>
                  </c:pt>
                  <c:pt idx="21">
                    <c:v>2018</c:v>
                  </c:pt>
                </c:lvl>
              </c:multiLvlStrCache>
            </c:multiLvlStrRef>
          </c:cat>
          <c:val>
            <c:numRef>
              <c:f>'Fig2'!$B$4:$Y$4</c:f>
              <c:numCache>
                <c:formatCode>General</c:formatCode>
                <c:ptCount val="24"/>
                <c:pt idx="0">
                  <c:v>0</c:v>
                </c:pt>
                <c:pt idx="1">
                  <c:v>0</c:v>
                </c:pt>
                <c:pt idx="3">
                  <c:v>0</c:v>
                </c:pt>
                <c:pt idx="4">
                  <c:v>0</c:v>
                </c:pt>
                <c:pt idx="6">
                  <c:v>167.928</c:v>
                </c:pt>
                <c:pt idx="7">
                  <c:v>167.928</c:v>
                </c:pt>
                <c:pt idx="9">
                  <c:v>77</c:v>
                </c:pt>
                <c:pt idx="10">
                  <c:v>77</c:v>
                </c:pt>
                <c:pt idx="12">
                  <c:v>0</c:v>
                </c:pt>
                <c:pt idx="13">
                  <c:v>0</c:v>
                </c:pt>
                <c:pt idx="15">
                  <c:v>184</c:v>
                </c:pt>
                <c:pt idx="16">
                  <c:v>184</c:v>
                </c:pt>
                <c:pt idx="18">
                  <c:v>0</c:v>
                </c:pt>
                <c:pt idx="19">
                  <c:v>0</c:v>
                </c:pt>
                <c:pt idx="21">
                  <c:v>0</c:v>
                </c:pt>
                <c:pt idx="22">
                  <c:v>0</c:v>
                </c:pt>
              </c:numCache>
            </c:numRef>
          </c:val>
          <c:extLst>
            <c:ext xmlns:c16="http://schemas.microsoft.com/office/drawing/2014/chart" uri="{C3380CC4-5D6E-409C-BE32-E72D297353CC}">
              <c16:uniqueId val="{00000000-AEEA-46EE-95B9-13D0E7B33D00}"/>
            </c:ext>
          </c:extLst>
        </c:ser>
        <c:ser>
          <c:idx val="1"/>
          <c:order val="1"/>
          <c:tx>
            <c:strRef>
              <c:f>'Fig2'!$A$5</c:f>
              <c:strCache>
                <c:ptCount val="1"/>
                <c:pt idx="0">
                  <c:v>Green/Amber</c:v>
                </c:pt>
              </c:strCache>
            </c:strRef>
          </c:tx>
          <c:spPr>
            <a:solidFill>
              <a:srgbClr val="DDE200"/>
            </a:solidFill>
            <a:ln>
              <a:noFill/>
            </a:ln>
            <a:effectLst/>
          </c:spPr>
          <c:invertIfNegative val="0"/>
          <c:cat>
            <c:multiLvlStrRef>
              <c:f>'Fig2'!$B$2:$Y$3</c:f>
              <c:multiLvlStrCache>
                <c:ptCount val="24"/>
                <c:lvl>
                  <c:pt idx="0">
                    <c:v>Directly</c:v>
                  </c:pt>
                  <c:pt idx="1">
                    <c:v>Indirectly</c:v>
                  </c:pt>
                  <c:pt idx="2">
                    <c:v>UK Aid</c:v>
                  </c:pt>
                  <c:pt idx="3">
                    <c:v>Directly</c:v>
                  </c:pt>
                  <c:pt idx="4">
                    <c:v>Indirectly</c:v>
                  </c:pt>
                  <c:pt idx="5">
                    <c:v>UK Aid</c:v>
                  </c:pt>
                  <c:pt idx="6">
                    <c:v>Directly</c:v>
                  </c:pt>
                  <c:pt idx="7">
                    <c:v>Indirectly</c:v>
                  </c:pt>
                  <c:pt idx="8">
                    <c:v>UK Aid</c:v>
                  </c:pt>
                  <c:pt idx="9">
                    <c:v>Directly</c:v>
                  </c:pt>
                  <c:pt idx="10">
                    <c:v>Indirectly</c:v>
                  </c:pt>
                  <c:pt idx="11">
                    <c:v>UK Aid</c:v>
                  </c:pt>
                  <c:pt idx="12">
                    <c:v>Directly</c:v>
                  </c:pt>
                  <c:pt idx="13">
                    <c:v>Indirectly</c:v>
                  </c:pt>
                  <c:pt idx="14">
                    <c:v>UK Aid</c:v>
                  </c:pt>
                  <c:pt idx="15">
                    <c:v>Directly</c:v>
                  </c:pt>
                  <c:pt idx="16">
                    <c:v>Indirectly</c:v>
                  </c:pt>
                  <c:pt idx="17">
                    <c:v>UK Aid</c:v>
                  </c:pt>
                  <c:pt idx="18">
                    <c:v>Directly</c:v>
                  </c:pt>
                  <c:pt idx="19">
                    <c:v>Indirectly</c:v>
                  </c:pt>
                  <c:pt idx="20">
                    <c:v>UK Aid</c:v>
                  </c:pt>
                  <c:pt idx="21">
                    <c:v>Directly</c:v>
                  </c:pt>
                  <c:pt idx="22">
                    <c:v>Indirectly</c:v>
                  </c:pt>
                  <c:pt idx="23">
                    <c:v>UK Aid</c:v>
                  </c:pt>
                </c:lvl>
                <c:lvl>
                  <c:pt idx="0">
                    <c:v>2011</c:v>
                  </c:pt>
                  <c:pt idx="3">
                    <c:v>2012</c:v>
                  </c:pt>
                  <c:pt idx="6">
                    <c:v>2013</c:v>
                  </c:pt>
                  <c:pt idx="9">
                    <c:v>2014</c:v>
                  </c:pt>
                  <c:pt idx="12">
                    <c:v>2015</c:v>
                  </c:pt>
                  <c:pt idx="15">
                    <c:v>2016</c:v>
                  </c:pt>
                  <c:pt idx="18">
                    <c:v>2017</c:v>
                  </c:pt>
                  <c:pt idx="21">
                    <c:v>2018</c:v>
                  </c:pt>
                </c:lvl>
              </c:multiLvlStrCache>
            </c:multiLvlStrRef>
          </c:cat>
          <c:val>
            <c:numRef>
              <c:f>'Fig2'!$B$5:$Y$5</c:f>
              <c:numCache>
                <c:formatCode>General</c:formatCode>
                <c:ptCount val="24"/>
                <c:pt idx="0">
                  <c:v>178.3</c:v>
                </c:pt>
                <c:pt idx="1">
                  <c:v>178.3</c:v>
                </c:pt>
                <c:pt idx="3">
                  <c:v>2811.1</c:v>
                </c:pt>
                <c:pt idx="4">
                  <c:v>7200</c:v>
                </c:pt>
                <c:pt idx="6">
                  <c:v>974.86099999999988</c:v>
                </c:pt>
                <c:pt idx="7">
                  <c:v>1954</c:v>
                </c:pt>
                <c:pt idx="9">
                  <c:v>1640.6</c:v>
                </c:pt>
                <c:pt idx="10">
                  <c:v>4419.8</c:v>
                </c:pt>
                <c:pt idx="12">
                  <c:v>304.02800000000002</c:v>
                </c:pt>
                <c:pt idx="13">
                  <c:v>6300</c:v>
                </c:pt>
                <c:pt idx="15">
                  <c:v>963.66666666666663</c:v>
                </c:pt>
                <c:pt idx="16">
                  <c:v>6200</c:v>
                </c:pt>
                <c:pt idx="18">
                  <c:v>2606.89</c:v>
                </c:pt>
                <c:pt idx="19">
                  <c:v>4044.4</c:v>
                </c:pt>
                <c:pt idx="21">
                  <c:v>7415.121056</c:v>
                </c:pt>
                <c:pt idx="22">
                  <c:v>10858.6</c:v>
                </c:pt>
              </c:numCache>
            </c:numRef>
          </c:val>
          <c:extLst>
            <c:ext xmlns:c16="http://schemas.microsoft.com/office/drawing/2014/chart" uri="{C3380CC4-5D6E-409C-BE32-E72D297353CC}">
              <c16:uniqueId val="{00000001-AEEA-46EE-95B9-13D0E7B33D00}"/>
            </c:ext>
          </c:extLst>
        </c:ser>
        <c:ser>
          <c:idx val="2"/>
          <c:order val="2"/>
          <c:tx>
            <c:strRef>
              <c:f>'Fig2'!$A$6</c:f>
              <c:strCache>
                <c:ptCount val="1"/>
                <c:pt idx="0">
                  <c:v>Amber/Red</c:v>
                </c:pt>
              </c:strCache>
            </c:strRef>
          </c:tx>
          <c:spPr>
            <a:solidFill>
              <a:srgbClr val="FFC000"/>
            </a:solidFill>
            <a:ln>
              <a:noFill/>
            </a:ln>
            <a:effectLst/>
          </c:spPr>
          <c:invertIfNegative val="0"/>
          <c:cat>
            <c:multiLvlStrRef>
              <c:f>'Fig2'!$B$2:$Y$3</c:f>
              <c:multiLvlStrCache>
                <c:ptCount val="24"/>
                <c:lvl>
                  <c:pt idx="0">
                    <c:v>Directly</c:v>
                  </c:pt>
                  <c:pt idx="1">
                    <c:v>Indirectly</c:v>
                  </c:pt>
                  <c:pt idx="2">
                    <c:v>UK Aid</c:v>
                  </c:pt>
                  <c:pt idx="3">
                    <c:v>Directly</c:v>
                  </c:pt>
                  <c:pt idx="4">
                    <c:v>Indirectly</c:v>
                  </c:pt>
                  <c:pt idx="5">
                    <c:v>UK Aid</c:v>
                  </c:pt>
                  <c:pt idx="6">
                    <c:v>Directly</c:v>
                  </c:pt>
                  <c:pt idx="7">
                    <c:v>Indirectly</c:v>
                  </c:pt>
                  <c:pt idx="8">
                    <c:v>UK Aid</c:v>
                  </c:pt>
                  <c:pt idx="9">
                    <c:v>Directly</c:v>
                  </c:pt>
                  <c:pt idx="10">
                    <c:v>Indirectly</c:v>
                  </c:pt>
                  <c:pt idx="11">
                    <c:v>UK Aid</c:v>
                  </c:pt>
                  <c:pt idx="12">
                    <c:v>Directly</c:v>
                  </c:pt>
                  <c:pt idx="13">
                    <c:v>Indirectly</c:v>
                  </c:pt>
                  <c:pt idx="14">
                    <c:v>UK Aid</c:v>
                  </c:pt>
                  <c:pt idx="15">
                    <c:v>Directly</c:v>
                  </c:pt>
                  <c:pt idx="16">
                    <c:v>Indirectly</c:v>
                  </c:pt>
                  <c:pt idx="17">
                    <c:v>UK Aid</c:v>
                  </c:pt>
                  <c:pt idx="18">
                    <c:v>Directly</c:v>
                  </c:pt>
                  <c:pt idx="19">
                    <c:v>Indirectly</c:v>
                  </c:pt>
                  <c:pt idx="20">
                    <c:v>UK Aid</c:v>
                  </c:pt>
                  <c:pt idx="21">
                    <c:v>Directly</c:v>
                  </c:pt>
                  <c:pt idx="22">
                    <c:v>Indirectly</c:v>
                  </c:pt>
                  <c:pt idx="23">
                    <c:v>UK Aid</c:v>
                  </c:pt>
                </c:lvl>
                <c:lvl>
                  <c:pt idx="0">
                    <c:v>2011</c:v>
                  </c:pt>
                  <c:pt idx="3">
                    <c:v>2012</c:v>
                  </c:pt>
                  <c:pt idx="6">
                    <c:v>2013</c:v>
                  </c:pt>
                  <c:pt idx="9">
                    <c:v>2014</c:v>
                  </c:pt>
                  <c:pt idx="12">
                    <c:v>2015</c:v>
                  </c:pt>
                  <c:pt idx="15">
                    <c:v>2016</c:v>
                  </c:pt>
                  <c:pt idx="18">
                    <c:v>2017</c:v>
                  </c:pt>
                  <c:pt idx="21">
                    <c:v>2018</c:v>
                  </c:pt>
                </c:lvl>
              </c:multiLvlStrCache>
            </c:multiLvlStrRef>
          </c:cat>
          <c:val>
            <c:numRef>
              <c:f>'Fig2'!$B$6:$Y$6</c:f>
              <c:numCache>
                <c:formatCode>General</c:formatCode>
                <c:ptCount val="24"/>
                <c:pt idx="0">
                  <c:v>7</c:v>
                </c:pt>
                <c:pt idx="1">
                  <c:v>7</c:v>
                </c:pt>
                <c:pt idx="3">
                  <c:v>681.10000000000014</c:v>
                </c:pt>
                <c:pt idx="4">
                  <c:v>2017.8</c:v>
                </c:pt>
                <c:pt idx="6">
                  <c:v>79.599999999999994</c:v>
                </c:pt>
                <c:pt idx="7">
                  <c:v>79.900000000000006</c:v>
                </c:pt>
                <c:pt idx="9">
                  <c:v>447.8</c:v>
                </c:pt>
                <c:pt idx="10">
                  <c:v>1885.3333333333333</c:v>
                </c:pt>
                <c:pt idx="12">
                  <c:v>1255.1300000000001</c:v>
                </c:pt>
                <c:pt idx="13">
                  <c:v>4104.3999999999996</c:v>
                </c:pt>
                <c:pt idx="15">
                  <c:v>1050.4097999999999</c:v>
                </c:pt>
                <c:pt idx="16">
                  <c:v>1778.4098000000001</c:v>
                </c:pt>
                <c:pt idx="18">
                  <c:v>0</c:v>
                </c:pt>
                <c:pt idx="19">
                  <c:v>0</c:v>
                </c:pt>
                <c:pt idx="21">
                  <c:v>908.9</c:v>
                </c:pt>
                <c:pt idx="22">
                  <c:v>2222.1999999999998</c:v>
                </c:pt>
              </c:numCache>
            </c:numRef>
          </c:val>
          <c:extLst>
            <c:ext xmlns:c16="http://schemas.microsoft.com/office/drawing/2014/chart" uri="{C3380CC4-5D6E-409C-BE32-E72D297353CC}">
              <c16:uniqueId val="{00000002-AEEA-46EE-95B9-13D0E7B33D00}"/>
            </c:ext>
          </c:extLst>
        </c:ser>
        <c:ser>
          <c:idx val="3"/>
          <c:order val="3"/>
          <c:tx>
            <c:strRef>
              <c:f>'Fig2'!$A$7</c:f>
              <c:strCache>
                <c:ptCount val="1"/>
                <c:pt idx="0">
                  <c:v>Red</c:v>
                </c:pt>
              </c:strCache>
            </c:strRef>
          </c:tx>
          <c:spPr>
            <a:solidFill>
              <a:srgbClr val="C00000"/>
            </a:solidFill>
            <a:ln>
              <a:noFill/>
            </a:ln>
            <a:effectLst/>
          </c:spPr>
          <c:invertIfNegative val="0"/>
          <c:cat>
            <c:multiLvlStrRef>
              <c:f>'Fig2'!$B$2:$Y$3</c:f>
              <c:multiLvlStrCache>
                <c:ptCount val="24"/>
                <c:lvl>
                  <c:pt idx="0">
                    <c:v>Directly</c:v>
                  </c:pt>
                  <c:pt idx="1">
                    <c:v>Indirectly</c:v>
                  </c:pt>
                  <c:pt idx="2">
                    <c:v>UK Aid</c:v>
                  </c:pt>
                  <c:pt idx="3">
                    <c:v>Directly</c:v>
                  </c:pt>
                  <c:pt idx="4">
                    <c:v>Indirectly</c:v>
                  </c:pt>
                  <c:pt idx="5">
                    <c:v>UK Aid</c:v>
                  </c:pt>
                  <c:pt idx="6">
                    <c:v>Directly</c:v>
                  </c:pt>
                  <c:pt idx="7">
                    <c:v>Indirectly</c:v>
                  </c:pt>
                  <c:pt idx="8">
                    <c:v>UK Aid</c:v>
                  </c:pt>
                  <c:pt idx="9">
                    <c:v>Directly</c:v>
                  </c:pt>
                  <c:pt idx="10">
                    <c:v>Indirectly</c:v>
                  </c:pt>
                  <c:pt idx="11">
                    <c:v>UK Aid</c:v>
                  </c:pt>
                  <c:pt idx="12">
                    <c:v>Directly</c:v>
                  </c:pt>
                  <c:pt idx="13">
                    <c:v>Indirectly</c:v>
                  </c:pt>
                  <c:pt idx="14">
                    <c:v>UK Aid</c:v>
                  </c:pt>
                  <c:pt idx="15">
                    <c:v>Directly</c:v>
                  </c:pt>
                  <c:pt idx="16">
                    <c:v>Indirectly</c:v>
                  </c:pt>
                  <c:pt idx="17">
                    <c:v>UK Aid</c:v>
                  </c:pt>
                  <c:pt idx="18">
                    <c:v>Directly</c:v>
                  </c:pt>
                  <c:pt idx="19">
                    <c:v>Indirectly</c:v>
                  </c:pt>
                  <c:pt idx="20">
                    <c:v>UK Aid</c:v>
                  </c:pt>
                  <c:pt idx="21">
                    <c:v>Directly</c:v>
                  </c:pt>
                  <c:pt idx="22">
                    <c:v>Indirectly</c:v>
                  </c:pt>
                  <c:pt idx="23">
                    <c:v>UK Aid</c:v>
                  </c:pt>
                </c:lvl>
                <c:lvl>
                  <c:pt idx="0">
                    <c:v>2011</c:v>
                  </c:pt>
                  <c:pt idx="3">
                    <c:v>2012</c:v>
                  </c:pt>
                  <c:pt idx="6">
                    <c:v>2013</c:v>
                  </c:pt>
                  <c:pt idx="9">
                    <c:v>2014</c:v>
                  </c:pt>
                  <c:pt idx="12">
                    <c:v>2015</c:v>
                  </c:pt>
                  <c:pt idx="15">
                    <c:v>2016</c:v>
                  </c:pt>
                  <c:pt idx="18">
                    <c:v>2017</c:v>
                  </c:pt>
                  <c:pt idx="21">
                    <c:v>2018</c:v>
                  </c:pt>
                </c:lvl>
              </c:multiLvlStrCache>
            </c:multiLvlStrRef>
          </c:cat>
          <c:val>
            <c:numRef>
              <c:f>'Fig2'!$B$7:$Y$7</c:f>
              <c:numCache>
                <c:formatCode>General</c:formatCode>
                <c:ptCount val="24"/>
                <c:pt idx="0">
                  <c:v>0</c:v>
                </c:pt>
                <c:pt idx="1">
                  <c:v>0</c:v>
                </c:pt>
                <c:pt idx="3">
                  <c:v>0</c:v>
                </c:pt>
                <c:pt idx="4">
                  <c:v>0</c:v>
                </c:pt>
                <c:pt idx="6">
                  <c:v>109</c:v>
                </c:pt>
                <c:pt idx="7">
                  <c:v>109</c:v>
                </c:pt>
                <c:pt idx="9">
                  <c:v>0</c:v>
                </c:pt>
                <c:pt idx="10">
                  <c:v>0</c:v>
                </c:pt>
                <c:pt idx="12">
                  <c:v>0</c:v>
                </c:pt>
                <c:pt idx="13">
                  <c:v>0</c:v>
                </c:pt>
                <c:pt idx="15">
                  <c:v>0</c:v>
                </c:pt>
                <c:pt idx="16">
                  <c:v>0</c:v>
                </c:pt>
                <c:pt idx="18">
                  <c:v>0</c:v>
                </c:pt>
                <c:pt idx="19">
                  <c:v>0</c:v>
                </c:pt>
                <c:pt idx="21">
                  <c:v>0</c:v>
                </c:pt>
                <c:pt idx="22">
                  <c:v>0</c:v>
                </c:pt>
              </c:numCache>
            </c:numRef>
          </c:val>
          <c:extLst>
            <c:ext xmlns:c16="http://schemas.microsoft.com/office/drawing/2014/chart" uri="{C3380CC4-5D6E-409C-BE32-E72D297353CC}">
              <c16:uniqueId val="{00000003-AEEA-46EE-95B9-13D0E7B33D00}"/>
            </c:ext>
          </c:extLst>
        </c:ser>
        <c:ser>
          <c:idx val="4"/>
          <c:order val="4"/>
          <c:tx>
            <c:strRef>
              <c:f>'Fig2'!$A$8</c:f>
              <c:strCache>
                <c:ptCount val="1"/>
                <c:pt idx="0">
                  <c:v>Not graded</c:v>
                </c:pt>
              </c:strCache>
            </c:strRef>
          </c:tx>
          <c:spPr>
            <a:solidFill>
              <a:schemeClr val="bg2">
                <a:lumMod val="90000"/>
              </a:schemeClr>
            </a:solidFill>
            <a:ln>
              <a:noFill/>
            </a:ln>
            <a:effectLst/>
          </c:spPr>
          <c:invertIfNegative val="0"/>
          <c:cat>
            <c:multiLvlStrRef>
              <c:f>'Fig2'!$B$2:$Y$3</c:f>
              <c:multiLvlStrCache>
                <c:ptCount val="24"/>
                <c:lvl>
                  <c:pt idx="0">
                    <c:v>Directly</c:v>
                  </c:pt>
                  <c:pt idx="1">
                    <c:v>Indirectly</c:v>
                  </c:pt>
                  <c:pt idx="2">
                    <c:v>UK Aid</c:v>
                  </c:pt>
                  <c:pt idx="3">
                    <c:v>Directly</c:v>
                  </c:pt>
                  <c:pt idx="4">
                    <c:v>Indirectly</c:v>
                  </c:pt>
                  <c:pt idx="5">
                    <c:v>UK Aid</c:v>
                  </c:pt>
                  <c:pt idx="6">
                    <c:v>Directly</c:v>
                  </c:pt>
                  <c:pt idx="7">
                    <c:v>Indirectly</c:v>
                  </c:pt>
                  <c:pt idx="8">
                    <c:v>UK Aid</c:v>
                  </c:pt>
                  <c:pt idx="9">
                    <c:v>Directly</c:v>
                  </c:pt>
                  <c:pt idx="10">
                    <c:v>Indirectly</c:v>
                  </c:pt>
                  <c:pt idx="11">
                    <c:v>UK Aid</c:v>
                  </c:pt>
                  <c:pt idx="12">
                    <c:v>Directly</c:v>
                  </c:pt>
                  <c:pt idx="13">
                    <c:v>Indirectly</c:v>
                  </c:pt>
                  <c:pt idx="14">
                    <c:v>UK Aid</c:v>
                  </c:pt>
                  <c:pt idx="15">
                    <c:v>Directly</c:v>
                  </c:pt>
                  <c:pt idx="16">
                    <c:v>Indirectly</c:v>
                  </c:pt>
                  <c:pt idx="17">
                    <c:v>UK Aid</c:v>
                  </c:pt>
                  <c:pt idx="18">
                    <c:v>Directly</c:v>
                  </c:pt>
                  <c:pt idx="19">
                    <c:v>Indirectly</c:v>
                  </c:pt>
                  <c:pt idx="20">
                    <c:v>UK Aid</c:v>
                  </c:pt>
                  <c:pt idx="21">
                    <c:v>Directly</c:v>
                  </c:pt>
                  <c:pt idx="22">
                    <c:v>Indirectly</c:v>
                  </c:pt>
                  <c:pt idx="23">
                    <c:v>UK Aid</c:v>
                  </c:pt>
                </c:lvl>
                <c:lvl>
                  <c:pt idx="0">
                    <c:v>2011</c:v>
                  </c:pt>
                  <c:pt idx="3">
                    <c:v>2012</c:v>
                  </c:pt>
                  <c:pt idx="6">
                    <c:v>2013</c:v>
                  </c:pt>
                  <c:pt idx="9">
                    <c:v>2014</c:v>
                  </c:pt>
                  <c:pt idx="12">
                    <c:v>2015</c:v>
                  </c:pt>
                  <c:pt idx="15">
                    <c:v>2016</c:v>
                  </c:pt>
                  <c:pt idx="18">
                    <c:v>2017</c:v>
                  </c:pt>
                  <c:pt idx="21">
                    <c:v>2018</c:v>
                  </c:pt>
                </c:lvl>
              </c:multiLvlStrCache>
            </c:multiLvlStrRef>
          </c:cat>
          <c:val>
            <c:numRef>
              <c:f>'Fig2'!$B$8:$Y$8</c:f>
              <c:numCache>
                <c:formatCode>General</c:formatCode>
                <c:ptCount val="24"/>
                <c:pt idx="0">
                  <c:v>0</c:v>
                </c:pt>
                <c:pt idx="1">
                  <c:v>0</c:v>
                </c:pt>
                <c:pt idx="3">
                  <c:v>0</c:v>
                </c:pt>
                <c:pt idx="4">
                  <c:v>0</c:v>
                </c:pt>
                <c:pt idx="6">
                  <c:v>0</c:v>
                </c:pt>
                <c:pt idx="7">
                  <c:v>0</c:v>
                </c:pt>
                <c:pt idx="9">
                  <c:v>0</c:v>
                </c:pt>
                <c:pt idx="10">
                  <c:v>0</c:v>
                </c:pt>
                <c:pt idx="12">
                  <c:v>0</c:v>
                </c:pt>
                <c:pt idx="13">
                  <c:v>0</c:v>
                </c:pt>
                <c:pt idx="15">
                  <c:v>0</c:v>
                </c:pt>
                <c:pt idx="16">
                  <c:v>0</c:v>
                </c:pt>
                <c:pt idx="18">
                  <c:v>2206.6999999999998</c:v>
                </c:pt>
                <c:pt idx="19">
                  <c:v>3773.3</c:v>
                </c:pt>
                <c:pt idx="21">
                  <c:v>3763.2000000000007</c:v>
                </c:pt>
                <c:pt idx="22">
                  <c:v>3763.2000000000007</c:v>
                </c:pt>
              </c:numCache>
            </c:numRef>
          </c:val>
          <c:extLst>
            <c:ext xmlns:c16="http://schemas.microsoft.com/office/drawing/2014/chart" uri="{C3380CC4-5D6E-409C-BE32-E72D297353CC}">
              <c16:uniqueId val="{00000004-AEEA-46EE-95B9-13D0E7B33D00}"/>
            </c:ext>
          </c:extLst>
        </c:ser>
        <c:ser>
          <c:idx val="5"/>
          <c:order val="5"/>
          <c:tx>
            <c:strRef>
              <c:f>'Fig2'!$A$9</c:f>
              <c:strCache>
                <c:ptCount val="1"/>
                <c:pt idx="0">
                  <c:v>Total UK Aid</c:v>
                </c:pt>
              </c:strCache>
            </c:strRef>
          </c:tx>
          <c:spPr>
            <a:solidFill>
              <a:schemeClr val="accent5">
                <a:lumMod val="40000"/>
                <a:lumOff val="60000"/>
              </a:schemeClr>
            </a:solidFill>
            <a:ln>
              <a:noFill/>
            </a:ln>
            <a:effectLst/>
          </c:spPr>
          <c:invertIfNegative val="0"/>
          <c:cat>
            <c:multiLvlStrRef>
              <c:f>'Fig2'!$B$2:$Y$3</c:f>
              <c:multiLvlStrCache>
                <c:ptCount val="24"/>
                <c:lvl>
                  <c:pt idx="0">
                    <c:v>Directly</c:v>
                  </c:pt>
                  <c:pt idx="1">
                    <c:v>Indirectly</c:v>
                  </c:pt>
                  <c:pt idx="2">
                    <c:v>UK Aid</c:v>
                  </c:pt>
                  <c:pt idx="3">
                    <c:v>Directly</c:v>
                  </c:pt>
                  <c:pt idx="4">
                    <c:v>Indirectly</c:v>
                  </c:pt>
                  <c:pt idx="5">
                    <c:v>UK Aid</c:v>
                  </c:pt>
                  <c:pt idx="6">
                    <c:v>Directly</c:v>
                  </c:pt>
                  <c:pt idx="7">
                    <c:v>Indirectly</c:v>
                  </c:pt>
                  <c:pt idx="8">
                    <c:v>UK Aid</c:v>
                  </c:pt>
                  <c:pt idx="9">
                    <c:v>Directly</c:v>
                  </c:pt>
                  <c:pt idx="10">
                    <c:v>Indirectly</c:v>
                  </c:pt>
                  <c:pt idx="11">
                    <c:v>UK Aid</c:v>
                  </c:pt>
                  <c:pt idx="12">
                    <c:v>Directly</c:v>
                  </c:pt>
                  <c:pt idx="13">
                    <c:v>Indirectly</c:v>
                  </c:pt>
                  <c:pt idx="14">
                    <c:v>UK Aid</c:v>
                  </c:pt>
                  <c:pt idx="15">
                    <c:v>Directly</c:v>
                  </c:pt>
                  <c:pt idx="16">
                    <c:v>Indirectly</c:v>
                  </c:pt>
                  <c:pt idx="17">
                    <c:v>UK Aid</c:v>
                  </c:pt>
                  <c:pt idx="18">
                    <c:v>Directly</c:v>
                  </c:pt>
                  <c:pt idx="19">
                    <c:v>Indirectly</c:v>
                  </c:pt>
                  <c:pt idx="20">
                    <c:v>UK Aid</c:v>
                  </c:pt>
                  <c:pt idx="21">
                    <c:v>Directly</c:v>
                  </c:pt>
                  <c:pt idx="22">
                    <c:v>Indirectly</c:v>
                  </c:pt>
                  <c:pt idx="23">
                    <c:v>UK Aid</c:v>
                  </c:pt>
                </c:lvl>
                <c:lvl>
                  <c:pt idx="0">
                    <c:v>2011</c:v>
                  </c:pt>
                  <c:pt idx="3">
                    <c:v>2012</c:v>
                  </c:pt>
                  <c:pt idx="6">
                    <c:v>2013</c:v>
                  </c:pt>
                  <c:pt idx="9">
                    <c:v>2014</c:v>
                  </c:pt>
                  <c:pt idx="12">
                    <c:v>2015</c:v>
                  </c:pt>
                  <c:pt idx="15">
                    <c:v>2016</c:v>
                  </c:pt>
                  <c:pt idx="18">
                    <c:v>2017</c:v>
                  </c:pt>
                  <c:pt idx="21">
                    <c:v>2018</c:v>
                  </c:pt>
                </c:lvl>
              </c:multiLvlStrCache>
            </c:multiLvlStrRef>
          </c:cat>
          <c:val>
            <c:numRef>
              <c:f>'Fig2'!$B$9:$Y$9</c:f>
              <c:numCache>
                <c:formatCode>General</c:formatCode>
                <c:ptCount val="24"/>
                <c:pt idx="2" formatCode="#,##0">
                  <c:v>8628.6230878479964</c:v>
                </c:pt>
                <c:pt idx="5" formatCode="#,##0">
                  <c:v>8801.9190474258448</c:v>
                </c:pt>
                <c:pt idx="8" formatCode="#,##0">
                  <c:v>11406.860450010212</c:v>
                </c:pt>
                <c:pt idx="11" formatCode="#,##0">
                  <c:v>11700.471985525361</c:v>
                </c:pt>
                <c:pt idx="14" formatCode="#,##0">
                  <c:v>12135.596438341629</c:v>
                </c:pt>
                <c:pt idx="17" formatCode="#,##0">
                  <c:v>13377.131388476799</c:v>
                </c:pt>
                <c:pt idx="20" formatCode="#,##0">
                  <c:v>13932.538125822501</c:v>
                </c:pt>
                <c:pt idx="23" formatCode="#,##0">
                  <c:v>14637.518</c:v>
                </c:pt>
              </c:numCache>
            </c:numRef>
          </c:val>
          <c:extLst>
            <c:ext xmlns:c16="http://schemas.microsoft.com/office/drawing/2014/chart" uri="{C3380CC4-5D6E-409C-BE32-E72D297353CC}">
              <c16:uniqueId val="{00000005-AEEA-46EE-95B9-13D0E7B33D00}"/>
            </c:ext>
          </c:extLst>
        </c:ser>
        <c:dLbls>
          <c:showLegendKey val="0"/>
          <c:showVal val="0"/>
          <c:showCatName val="0"/>
          <c:showSerName val="0"/>
          <c:showPercent val="0"/>
          <c:showBubbleSize val="0"/>
        </c:dLbls>
        <c:gapWidth val="150"/>
        <c:overlap val="100"/>
        <c:axId val="1449890335"/>
        <c:axId val="1451053599"/>
      </c:barChart>
      <c:catAx>
        <c:axId val="1449890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53599"/>
        <c:crosses val="autoZero"/>
        <c:auto val="1"/>
        <c:lblAlgn val="ctr"/>
        <c:lblOffset val="100"/>
        <c:noMultiLvlLbl val="0"/>
      </c:catAx>
      <c:valAx>
        <c:axId val="1451053599"/>
        <c:scaling>
          <c:orientation val="minMax"/>
          <c:max val="16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p>
            </c:rich>
          </c:tx>
          <c:layout>
            <c:manualLayout>
              <c:xMode val="edge"/>
              <c:yMode val="edge"/>
              <c:x val="1.2698412698412698E-2"/>
              <c:y val="0.2861620992526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890335"/>
        <c:crosses val="autoZero"/>
        <c:crossBetween val="between"/>
        <c:majorUnit val="400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851934915229208E-2"/>
          <c:y val="0.22214285714285714"/>
          <c:w val="0.81550307762077234"/>
          <c:h val="0.56444915888104663"/>
        </c:manualLayout>
      </c:layout>
      <c:barChart>
        <c:barDir val="col"/>
        <c:grouping val="stacked"/>
        <c:varyColors val="0"/>
        <c:ser>
          <c:idx val="0"/>
          <c:order val="0"/>
          <c:tx>
            <c:strRef>
              <c:f>'Fig3'!$A$4</c:f>
              <c:strCache>
                <c:ptCount val="1"/>
                <c:pt idx="0">
                  <c:v>Green</c:v>
                </c:pt>
              </c:strCache>
            </c:strRef>
          </c:tx>
          <c:spPr>
            <a:solidFill>
              <a:srgbClr val="00B050"/>
            </a:solidFill>
            <a:ln>
              <a:noFill/>
            </a:ln>
            <a:effectLst/>
          </c:spPr>
          <c:invertIfNegative val="0"/>
          <c:cat>
            <c:multiLvlStrRef>
              <c:extLst>
                <c:ext xmlns:c15="http://schemas.microsoft.com/office/drawing/2012/chart" uri="{02D57815-91ED-43cb-92C2-25804820EDAC}">
                  <c15:fullRef>
                    <c15:sqref>'Fig3'!$E$1:$AB$3</c15:sqref>
                  </c15:fullRef>
                </c:ext>
              </c:extLst>
              <c:f>'Fig3'!$E$1:$AB$3</c:f>
              <c:multiLvlStrCache>
                <c:ptCount val="9"/>
                <c:lvl>
                  <c:pt idx="0">
                    <c:v>Direct</c:v>
                  </c:pt>
                  <c:pt idx="1">
                    <c:v>Indirect</c:v>
                  </c:pt>
                  <c:pt idx="2">
                    <c:v>Total Aid</c:v>
                  </c:pt>
                  <c:pt idx="3">
                    <c:v>Direct</c:v>
                  </c:pt>
                  <c:pt idx="4">
                    <c:v>Indirect</c:v>
                  </c:pt>
                  <c:pt idx="5">
                    <c:v>Total Aid</c:v>
                  </c:pt>
                  <c:pt idx="6">
                    <c:v>Direct</c:v>
                  </c:pt>
                  <c:pt idx="7">
                    <c:v>Indirect</c:v>
                  </c:pt>
                  <c:pt idx="8">
                    <c:v>Total Aid</c:v>
                  </c:pt>
                </c:lvl>
                <c:lvl>
                  <c:pt idx="0">
                    <c:v>FCO</c:v>
                  </c:pt>
                  <c:pt idx="3">
                    <c:v>BEIS</c:v>
                  </c:pt>
                  <c:pt idx="6">
                    <c:v>Home Office</c:v>
                  </c:pt>
                </c:lvl>
              </c:multiLvlStrCache>
            </c:multiLvlStrRef>
          </c:cat>
          <c:val>
            <c:numRef>
              <c:extLst>
                <c:ext xmlns:c15="http://schemas.microsoft.com/office/drawing/2012/chart" uri="{02D57815-91ED-43cb-92C2-25804820EDAC}">
                  <c15:fullRef>
                    <c15:sqref>'Fig3'!$E$4:$AB$4</c15:sqref>
                  </c15:fullRef>
                </c:ext>
              </c:extLst>
              <c:f>('Fig3'!$E$4:$J$4,'Fig3'!$N$4:$P$4)</c:f>
              <c:numCache>
                <c:formatCode>_-* #,##0_-;\-* #,##0_-;_-* "-"??_-;_-@_-</c:formatCode>
                <c:ptCount val="9"/>
                <c:pt idx="0">
                  <c:v>0</c:v>
                </c:pt>
                <c:pt idx="1">
                  <c:v>0</c:v>
                </c:pt>
                <c:pt idx="3" formatCode="0">
                  <c:v>0</c:v>
                </c:pt>
                <c:pt idx="4" formatCode="0">
                  <c:v>0</c:v>
                </c:pt>
                <c:pt idx="6" formatCode="0">
                  <c:v>0</c:v>
                </c:pt>
                <c:pt idx="7" formatCode="0">
                  <c:v>0</c:v>
                </c:pt>
              </c:numCache>
            </c:numRef>
          </c:val>
          <c:extLst>
            <c:ext xmlns:c16="http://schemas.microsoft.com/office/drawing/2014/chart" uri="{C3380CC4-5D6E-409C-BE32-E72D297353CC}">
              <c16:uniqueId val="{00000000-CD84-417A-9886-866D56D497DB}"/>
            </c:ext>
          </c:extLst>
        </c:ser>
        <c:ser>
          <c:idx val="1"/>
          <c:order val="1"/>
          <c:tx>
            <c:strRef>
              <c:f>'Fig3'!$A$5</c:f>
              <c:strCache>
                <c:ptCount val="1"/>
                <c:pt idx="0">
                  <c:v>Green/Amber</c:v>
                </c:pt>
              </c:strCache>
            </c:strRef>
          </c:tx>
          <c:spPr>
            <a:solidFill>
              <a:srgbClr val="DDE200"/>
            </a:solidFill>
            <a:ln>
              <a:noFill/>
            </a:ln>
            <a:effectLst/>
          </c:spPr>
          <c:invertIfNegative val="0"/>
          <c:cat>
            <c:multiLvlStrRef>
              <c:extLst>
                <c:ext xmlns:c15="http://schemas.microsoft.com/office/drawing/2012/chart" uri="{02D57815-91ED-43cb-92C2-25804820EDAC}">
                  <c15:fullRef>
                    <c15:sqref>'Fig3'!$E$1:$AB$3</c15:sqref>
                  </c15:fullRef>
                </c:ext>
              </c:extLst>
              <c:f>'Fig3'!$E$1:$AB$3</c:f>
              <c:multiLvlStrCache>
                <c:ptCount val="9"/>
                <c:lvl>
                  <c:pt idx="0">
                    <c:v>Direct</c:v>
                  </c:pt>
                  <c:pt idx="1">
                    <c:v>Indirect</c:v>
                  </c:pt>
                  <c:pt idx="2">
                    <c:v>Total Aid</c:v>
                  </c:pt>
                  <c:pt idx="3">
                    <c:v>Direct</c:v>
                  </c:pt>
                  <c:pt idx="4">
                    <c:v>Indirect</c:v>
                  </c:pt>
                  <c:pt idx="5">
                    <c:v>Total Aid</c:v>
                  </c:pt>
                  <c:pt idx="6">
                    <c:v>Direct</c:v>
                  </c:pt>
                  <c:pt idx="7">
                    <c:v>Indirect</c:v>
                  </c:pt>
                  <c:pt idx="8">
                    <c:v>Total Aid</c:v>
                  </c:pt>
                </c:lvl>
                <c:lvl>
                  <c:pt idx="0">
                    <c:v>FCO</c:v>
                  </c:pt>
                  <c:pt idx="3">
                    <c:v>BEIS</c:v>
                  </c:pt>
                  <c:pt idx="6">
                    <c:v>Home Office</c:v>
                  </c:pt>
                </c:lvl>
              </c:multiLvlStrCache>
            </c:multiLvlStrRef>
          </c:cat>
          <c:val>
            <c:numRef>
              <c:extLst>
                <c:ext xmlns:c15="http://schemas.microsoft.com/office/drawing/2012/chart" uri="{02D57815-91ED-43cb-92C2-25804820EDAC}">
                  <c15:fullRef>
                    <c15:sqref>'Fig3'!$E$5:$AB$5</c15:sqref>
                  </c15:fullRef>
                </c:ext>
              </c:extLst>
              <c:f>('Fig3'!$E$5:$J$5,'Fig3'!$N$5:$P$5)</c:f>
              <c:numCache>
                <c:formatCode>_-* #,##0_-;\-* #,##0_-;_-* "-"??_-;_-@_-</c:formatCode>
                <c:ptCount val="9"/>
                <c:pt idx="0">
                  <c:v>33.551000000000002</c:v>
                </c:pt>
                <c:pt idx="1">
                  <c:v>99.4</c:v>
                </c:pt>
                <c:pt idx="3" formatCode="0">
                  <c:v>0</c:v>
                </c:pt>
                <c:pt idx="4" formatCode="0">
                  <c:v>0</c:v>
                </c:pt>
                <c:pt idx="6" formatCode="0">
                  <c:v>0</c:v>
                </c:pt>
                <c:pt idx="7" formatCode="0">
                  <c:v>0</c:v>
                </c:pt>
              </c:numCache>
            </c:numRef>
          </c:val>
          <c:extLst>
            <c:ext xmlns:c16="http://schemas.microsoft.com/office/drawing/2014/chart" uri="{C3380CC4-5D6E-409C-BE32-E72D297353CC}">
              <c16:uniqueId val="{00000001-CD84-417A-9886-866D56D497DB}"/>
            </c:ext>
          </c:extLst>
        </c:ser>
        <c:ser>
          <c:idx val="2"/>
          <c:order val="2"/>
          <c:tx>
            <c:strRef>
              <c:f>'Fig3'!$A$6</c:f>
              <c:strCache>
                <c:ptCount val="1"/>
                <c:pt idx="0">
                  <c:v>Amber/Red</c:v>
                </c:pt>
              </c:strCache>
            </c:strRef>
          </c:tx>
          <c:spPr>
            <a:solidFill>
              <a:srgbClr val="FE8002"/>
            </a:solidFill>
            <a:ln>
              <a:noFill/>
            </a:ln>
            <a:effectLst/>
          </c:spPr>
          <c:invertIfNegative val="0"/>
          <c:cat>
            <c:multiLvlStrRef>
              <c:extLst>
                <c:ext xmlns:c15="http://schemas.microsoft.com/office/drawing/2012/chart" uri="{02D57815-91ED-43cb-92C2-25804820EDAC}">
                  <c15:fullRef>
                    <c15:sqref>'Fig3'!$E$1:$AB$3</c15:sqref>
                  </c15:fullRef>
                </c:ext>
              </c:extLst>
              <c:f>'Fig3'!$E$1:$AB$3</c:f>
              <c:multiLvlStrCache>
                <c:ptCount val="9"/>
                <c:lvl>
                  <c:pt idx="0">
                    <c:v>Direct</c:v>
                  </c:pt>
                  <c:pt idx="1">
                    <c:v>Indirect</c:v>
                  </c:pt>
                  <c:pt idx="2">
                    <c:v>Total Aid</c:v>
                  </c:pt>
                  <c:pt idx="3">
                    <c:v>Direct</c:v>
                  </c:pt>
                  <c:pt idx="4">
                    <c:v>Indirect</c:v>
                  </c:pt>
                  <c:pt idx="5">
                    <c:v>Total Aid</c:v>
                  </c:pt>
                  <c:pt idx="6">
                    <c:v>Direct</c:v>
                  </c:pt>
                  <c:pt idx="7">
                    <c:v>Indirect</c:v>
                  </c:pt>
                  <c:pt idx="8">
                    <c:v>Total Aid</c:v>
                  </c:pt>
                </c:lvl>
                <c:lvl>
                  <c:pt idx="0">
                    <c:v>FCO</c:v>
                  </c:pt>
                  <c:pt idx="3">
                    <c:v>BEIS</c:v>
                  </c:pt>
                  <c:pt idx="6">
                    <c:v>Home Office</c:v>
                  </c:pt>
                </c:lvl>
              </c:multiLvlStrCache>
            </c:multiLvlStrRef>
          </c:cat>
          <c:val>
            <c:numRef>
              <c:extLst>
                <c:ext xmlns:c15="http://schemas.microsoft.com/office/drawing/2012/chart" uri="{02D57815-91ED-43cb-92C2-25804820EDAC}">
                  <c15:fullRef>
                    <c15:sqref>'Fig3'!$E$6:$AB$6</c15:sqref>
                  </c15:fullRef>
                </c:ext>
              </c:extLst>
              <c:f>('Fig3'!$E$6:$J$6,'Fig3'!$N$6:$P$6)</c:f>
              <c:numCache>
                <c:formatCode>_-* #,##0_-;\-* #,##0_-;_-* "-"??_-;_-@_-</c:formatCode>
                <c:ptCount val="9"/>
                <c:pt idx="0">
                  <c:v>122.928</c:v>
                </c:pt>
                <c:pt idx="1">
                  <c:v>779.2</c:v>
                </c:pt>
                <c:pt idx="3" formatCode="0">
                  <c:v>0</c:v>
                </c:pt>
                <c:pt idx="4" formatCode="0">
                  <c:v>0</c:v>
                </c:pt>
                <c:pt idx="6" formatCode="0">
                  <c:v>0</c:v>
                </c:pt>
                <c:pt idx="7" formatCode="0">
                  <c:v>17.7</c:v>
                </c:pt>
              </c:numCache>
            </c:numRef>
          </c:val>
          <c:extLst>
            <c:ext xmlns:c16="http://schemas.microsoft.com/office/drawing/2014/chart" uri="{C3380CC4-5D6E-409C-BE32-E72D297353CC}">
              <c16:uniqueId val="{00000002-CD84-417A-9886-866D56D497DB}"/>
            </c:ext>
          </c:extLst>
        </c:ser>
        <c:ser>
          <c:idx val="3"/>
          <c:order val="3"/>
          <c:tx>
            <c:strRef>
              <c:f>'Fig3'!$A$7</c:f>
              <c:strCache>
                <c:ptCount val="1"/>
                <c:pt idx="0">
                  <c:v>Red</c:v>
                </c:pt>
              </c:strCache>
            </c:strRef>
          </c:tx>
          <c:spPr>
            <a:solidFill>
              <a:srgbClr val="C00000"/>
            </a:solidFill>
            <a:ln>
              <a:noFill/>
            </a:ln>
            <a:effectLst/>
          </c:spPr>
          <c:invertIfNegative val="0"/>
          <c:cat>
            <c:multiLvlStrRef>
              <c:extLst>
                <c:ext xmlns:c15="http://schemas.microsoft.com/office/drawing/2012/chart" uri="{02D57815-91ED-43cb-92C2-25804820EDAC}">
                  <c15:fullRef>
                    <c15:sqref>'Fig3'!$E$1:$AB$3</c15:sqref>
                  </c15:fullRef>
                </c:ext>
              </c:extLst>
              <c:f>'Fig3'!$E$1:$AB$3</c:f>
              <c:multiLvlStrCache>
                <c:ptCount val="9"/>
                <c:lvl>
                  <c:pt idx="0">
                    <c:v>Direct</c:v>
                  </c:pt>
                  <c:pt idx="1">
                    <c:v>Indirect</c:v>
                  </c:pt>
                  <c:pt idx="2">
                    <c:v>Total Aid</c:v>
                  </c:pt>
                  <c:pt idx="3">
                    <c:v>Direct</c:v>
                  </c:pt>
                  <c:pt idx="4">
                    <c:v>Indirect</c:v>
                  </c:pt>
                  <c:pt idx="5">
                    <c:v>Total Aid</c:v>
                  </c:pt>
                  <c:pt idx="6">
                    <c:v>Direct</c:v>
                  </c:pt>
                  <c:pt idx="7">
                    <c:v>Indirect</c:v>
                  </c:pt>
                  <c:pt idx="8">
                    <c:v>Total Aid</c:v>
                  </c:pt>
                </c:lvl>
                <c:lvl>
                  <c:pt idx="0">
                    <c:v>FCO</c:v>
                  </c:pt>
                  <c:pt idx="3">
                    <c:v>BEIS</c:v>
                  </c:pt>
                  <c:pt idx="6">
                    <c:v>Home Office</c:v>
                  </c:pt>
                </c:lvl>
              </c:multiLvlStrCache>
            </c:multiLvlStrRef>
          </c:cat>
          <c:val>
            <c:numRef>
              <c:extLst>
                <c:ext xmlns:c15="http://schemas.microsoft.com/office/drawing/2012/chart" uri="{02D57815-91ED-43cb-92C2-25804820EDAC}">
                  <c15:fullRef>
                    <c15:sqref>'Fig3'!$E$7:$AB$7</c15:sqref>
                  </c15:fullRef>
                </c:ext>
              </c:extLst>
              <c:f>('Fig3'!$E$7:$J$7,'Fig3'!$N$7:$P$7)</c:f>
              <c:numCache>
                <c:formatCode>_-* #,##0_-;\-* #,##0_-;_-* "-"??_-;_-@_-</c:formatCode>
                <c:ptCount val="9"/>
                <c:pt idx="0">
                  <c:v>0</c:v>
                </c:pt>
                <c:pt idx="1">
                  <c:v>0</c:v>
                </c:pt>
                <c:pt idx="3" formatCode="0">
                  <c:v>0</c:v>
                </c:pt>
                <c:pt idx="4" formatCode="0">
                  <c:v>0</c:v>
                </c:pt>
                <c:pt idx="6" formatCode="0">
                  <c:v>0</c:v>
                </c:pt>
                <c:pt idx="7" formatCode="0">
                  <c:v>0</c:v>
                </c:pt>
              </c:numCache>
            </c:numRef>
          </c:val>
          <c:extLst>
            <c:ext xmlns:c16="http://schemas.microsoft.com/office/drawing/2014/chart" uri="{C3380CC4-5D6E-409C-BE32-E72D297353CC}">
              <c16:uniqueId val="{00000003-CD84-417A-9886-866D56D497DB}"/>
            </c:ext>
          </c:extLst>
        </c:ser>
        <c:ser>
          <c:idx val="4"/>
          <c:order val="4"/>
          <c:tx>
            <c:strRef>
              <c:f>'Fig3'!$A$8</c:f>
              <c:strCache>
                <c:ptCount val="1"/>
                <c:pt idx="0">
                  <c:v>Not graded</c:v>
                </c:pt>
              </c:strCache>
            </c:strRef>
          </c:tx>
          <c:spPr>
            <a:solidFill>
              <a:schemeClr val="bg2">
                <a:lumMod val="90000"/>
              </a:schemeClr>
            </a:solidFill>
            <a:ln>
              <a:noFill/>
            </a:ln>
            <a:effectLst/>
          </c:spPr>
          <c:invertIfNegative val="0"/>
          <c:cat>
            <c:multiLvlStrRef>
              <c:extLst>
                <c:ext xmlns:c15="http://schemas.microsoft.com/office/drawing/2012/chart" uri="{02D57815-91ED-43cb-92C2-25804820EDAC}">
                  <c15:fullRef>
                    <c15:sqref>'Fig3'!$E$1:$AB$3</c15:sqref>
                  </c15:fullRef>
                </c:ext>
              </c:extLst>
              <c:f>'Fig3'!$E$1:$AB$3</c:f>
              <c:multiLvlStrCache>
                <c:ptCount val="9"/>
                <c:lvl>
                  <c:pt idx="0">
                    <c:v>Direct</c:v>
                  </c:pt>
                  <c:pt idx="1">
                    <c:v>Indirect</c:v>
                  </c:pt>
                  <c:pt idx="2">
                    <c:v>Total Aid</c:v>
                  </c:pt>
                  <c:pt idx="3">
                    <c:v>Direct</c:v>
                  </c:pt>
                  <c:pt idx="4">
                    <c:v>Indirect</c:v>
                  </c:pt>
                  <c:pt idx="5">
                    <c:v>Total Aid</c:v>
                  </c:pt>
                  <c:pt idx="6">
                    <c:v>Direct</c:v>
                  </c:pt>
                  <c:pt idx="7">
                    <c:v>Indirect</c:v>
                  </c:pt>
                  <c:pt idx="8">
                    <c:v>Total Aid</c:v>
                  </c:pt>
                </c:lvl>
                <c:lvl>
                  <c:pt idx="0">
                    <c:v>FCO</c:v>
                  </c:pt>
                  <c:pt idx="3">
                    <c:v>BEIS</c:v>
                  </c:pt>
                  <c:pt idx="6">
                    <c:v>Home Office</c:v>
                  </c:pt>
                </c:lvl>
              </c:multiLvlStrCache>
            </c:multiLvlStrRef>
          </c:cat>
          <c:val>
            <c:numRef>
              <c:extLst>
                <c:ext xmlns:c15="http://schemas.microsoft.com/office/drawing/2012/chart" uri="{02D57815-91ED-43cb-92C2-25804820EDAC}">
                  <c15:fullRef>
                    <c15:sqref>'Fig3'!$E$8:$AB$8</c15:sqref>
                  </c15:fullRef>
                </c:ext>
              </c:extLst>
              <c:f>('Fig3'!$E$8:$J$8,'Fig3'!$N$8:$P$8)</c:f>
              <c:numCache>
                <c:formatCode>_-* #,##0_-;\-* #,##0_-;_-* "-"??_-;_-@_-</c:formatCode>
                <c:ptCount val="9"/>
                <c:pt idx="0">
                  <c:v>590</c:v>
                </c:pt>
                <c:pt idx="1">
                  <c:v>1108.3</c:v>
                </c:pt>
                <c:pt idx="3" formatCode="0">
                  <c:v>1300</c:v>
                </c:pt>
                <c:pt idx="4" formatCode="0">
                  <c:v>1500</c:v>
                </c:pt>
                <c:pt idx="6" formatCode="0">
                  <c:v>0</c:v>
                </c:pt>
                <c:pt idx="7" formatCode="0">
                  <c:v>0</c:v>
                </c:pt>
              </c:numCache>
            </c:numRef>
          </c:val>
          <c:extLst>
            <c:ext xmlns:c16="http://schemas.microsoft.com/office/drawing/2014/chart" uri="{C3380CC4-5D6E-409C-BE32-E72D297353CC}">
              <c16:uniqueId val="{00000004-CD84-417A-9886-866D56D497DB}"/>
            </c:ext>
          </c:extLst>
        </c:ser>
        <c:ser>
          <c:idx val="5"/>
          <c:order val="5"/>
          <c:tx>
            <c:strRef>
              <c:f>'Fig3'!$A$9</c:f>
              <c:strCache>
                <c:ptCount val="1"/>
                <c:pt idx="0">
                  <c:v>Total Departmental Aid 2011-2017</c:v>
                </c:pt>
              </c:strCache>
            </c:strRef>
          </c:tx>
          <c:spPr>
            <a:solidFill>
              <a:schemeClr val="accent5">
                <a:lumMod val="40000"/>
                <a:lumOff val="60000"/>
              </a:schemeClr>
            </a:solidFill>
            <a:ln>
              <a:noFill/>
            </a:ln>
            <a:effectLst/>
          </c:spPr>
          <c:invertIfNegative val="0"/>
          <c:cat>
            <c:multiLvlStrRef>
              <c:extLst>
                <c:ext xmlns:c15="http://schemas.microsoft.com/office/drawing/2012/chart" uri="{02D57815-91ED-43cb-92C2-25804820EDAC}">
                  <c15:fullRef>
                    <c15:sqref>'Fig3'!$E$1:$AB$3</c15:sqref>
                  </c15:fullRef>
                </c:ext>
              </c:extLst>
              <c:f>'Fig3'!$E$1:$AB$3</c:f>
              <c:multiLvlStrCache>
                <c:ptCount val="9"/>
                <c:lvl>
                  <c:pt idx="0">
                    <c:v>Direct</c:v>
                  </c:pt>
                  <c:pt idx="1">
                    <c:v>Indirect</c:v>
                  </c:pt>
                  <c:pt idx="2">
                    <c:v>Total Aid</c:v>
                  </c:pt>
                  <c:pt idx="3">
                    <c:v>Direct</c:v>
                  </c:pt>
                  <c:pt idx="4">
                    <c:v>Indirect</c:v>
                  </c:pt>
                  <c:pt idx="5">
                    <c:v>Total Aid</c:v>
                  </c:pt>
                  <c:pt idx="6">
                    <c:v>Direct</c:v>
                  </c:pt>
                  <c:pt idx="7">
                    <c:v>Indirect</c:v>
                  </c:pt>
                  <c:pt idx="8">
                    <c:v>Total Aid</c:v>
                  </c:pt>
                </c:lvl>
                <c:lvl>
                  <c:pt idx="0">
                    <c:v>FCO</c:v>
                  </c:pt>
                  <c:pt idx="3">
                    <c:v>BEIS</c:v>
                  </c:pt>
                  <c:pt idx="6">
                    <c:v>Home Office</c:v>
                  </c:pt>
                </c:lvl>
              </c:multiLvlStrCache>
            </c:multiLvlStrRef>
          </c:cat>
          <c:val>
            <c:numRef>
              <c:extLst>
                <c:ext xmlns:c15="http://schemas.microsoft.com/office/drawing/2012/chart" uri="{02D57815-91ED-43cb-92C2-25804820EDAC}">
                  <c15:fullRef>
                    <c15:sqref>'Fig3'!$E$9:$AB$9</c15:sqref>
                  </c15:fullRef>
                </c:ext>
              </c:extLst>
              <c:f>('Fig3'!$E$9:$J$9,'Fig3'!$N$9:$P$9)</c:f>
              <c:numCache>
                <c:formatCode>"£"#,##0</c:formatCode>
                <c:ptCount val="9"/>
                <c:pt idx="2">
                  <c:v>4657.6407615329626</c:v>
                </c:pt>
                <c:pt idx="5">
                  <c:v>1464.6489745322065</c:v>
                </c:pt>
                <c:pt idx="8">
                  <c:v>1151.4272443584</c:v>
                </c:pt>
              </c:numCache>
            </c:numRef>
          </c:val>
          <c:extLst>
            <c:ext xmlns:c16="http://schemas.microsoft.com/office/drawing/2014/chart" uri="{C3380CC4-5D6E-409C-BE32-E72D297353CC}">
              <c16:uniqueId val="{00000005-CD84-417A-9886-866D56D497DB}"/>
            </c:ext>
          </c:extLst>
        </c:ser>
        <c:dLbls>
          <c:showLegendKey val="0"/>
          <c:showVal val="0"/>
          <c:showCatName val="0"/>
          <c:showSerName val="0"/>
          <c:showPercent val="0"/>
          <c:showBubbleSize val="0"/>
        </c:dLbls>
        <c:gapWidth val="150"/>
        <c:overlap val="100"/>
        <c:axId val="1096404288"/>
        <c:axId val="1008016720"/>
      </c:barChart>
      <c:catAx>
        <c:axId val="1096404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Source: CGD analysis of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016720"/>
        <c:crosses val="autoZero"/>
        <c:auto val="1"/>
        <c:lblAlgn val="ctr"/>
        <c:lblOffset val="100"/>
        <c:noMultiLvlLbl val="0"/>
      </c:catAx>
      <c:valAx>
        <c:axId val="1008016720"/>
        <c:scaling>
          <c:orientation val="minMax"/>
          <c:max val="5000"/>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p>
            </c:rich>
          </c:tx>
          <c:layout>
            <c:manualLayout>
              <c:xMode val="edge"/>
              <c:yMode val="edge"/>
              <c:x val="0.93097642611187359"/>
              <c:y val="0.405240956722514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404288"/>
        <c:crosses val="max"/>
        <c:crossBetween val="between"/>
        <c:majorUnit val="1000"/>
      </c:valAx>
      <c:spPr>
        <a:noFill/>
        <a:ln>
          <a:noFill/>
        </a:ln>
        <a:effectLst/>
      </c:spPr>
    </c:plotArea>
    <c:legend>
      <c:legendPos val="t"/>
      <c:layout>
        <c:manualLayout>
          <c:xMode val="edge"/>
          <c:yMode val="edge"/>
          <c:x val="0"/>
          <c:y val="3.007518796992481E-2"/>
          <c:w val="1"/>
          <c:h val="0.184681783198152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64450436890395"/>
          <c:y val="0.21515037593984959"/>
          <c:w val="0.54928159121849374"/>
          <c:h val="0.57244746130871571"/>
        </c:manualLayout>
      </c:layout>
      <c:barChart>
        <c:barDir val="col"/>
        <c:grouping val="stacked"/>
        <c:varyColors val="0"/>
        <c:ser>
          <c:idx val="0"/>
          <c:order val="0"/>
          <c:tx>
            <c:strRef>
              <c:f>'Fig3'!$A$4</c:f>
              <c:strCache>
                <c:ptCount val="1"/>
                <c:pt idx="0">
                  <c:v>Green</c:v>
                </c:pt>
              </c:strCache>
            </c:strRef>
          </c:tx>
          <c:spPr>
            <a:solidFill>
              <a:srgbClr val="00B050"/>
            </a:solidFill>
            <a:ln>
              <a:noFill/>
            </a:ln>
            <a:effectLst/>
          </c:spPr>
          <c:invertIfNegative val="0"/>
          <c:cat>
            <c:multiLvlStrRef>
              <c:f>'Fig3'!$B$2:$D$3</c:f>
              <c:multiLvlStrCache>
                <c:ptCount val="3"/>
                <c:lvl>
                  <c:pt idx="0">
                    <c:v>Direct</c:v>
                  </c:pt>
                  <c:pt idx="1">
                    <c:v>Indirect</c:v>
                  </c:pt>
                  <c:pt idx="2">
                    <c:v>Total Aid</c:v>
                  </c:pt>
                </c:lvl>
                <c:lvl>
                  <c:pt idx="0">
                    <c:v>DFID </c:v>
                  </c:pt>
                </c:lvl>
              </c:multiLvlStrCache>
            </c:multiLvlStrRef>
          </c:cat>
          <c:val>
            <c:numRef>
              <c:f>'Fig3'!$B$4:$D$4</c:f>
              <c:numCache>
                <c:formatCode>_-* #,##0_-;\-* #,##0_-;_-* "-"??_-;_-@_-</c:formatCode>
                <c:ptCount val="3"/>
                <c:pt idx="0">
                  <c:v>428.928</c:v>
                </c:pt>
                <c:pt idx="1">
                  <c:v>428.928</c:v>
                </c:pt>
              </c:numCache>
            </c:numRef>
          </c:val>
          <c:extLst>
            <c:ext xmlns:c16="http://schemas.microsoft.com/office/drawing/2014/chart" uri="{C3380CC4-5D6E-409C-BE32-E72D297353CC}">
              <c16:uniqueId val="{00000000-A0C1-4E05-82B3-211126A38E10}"/>
            </c:ext>
          </c:extLst>
        </c:ser>
        <c:ser>
          <c:idx val="1"/>
          <c:order val="1"/>
          <c:tx>
            <c:strRef>
              <c:f>'Fig3'!$A$5</c:f>
              <c:strCache>
                <c:ptCount val="1"/>
                <c:pt idx="0">
                  <c:v>Green/Amber</c:v>
                </c:pt>
              </c:strCache>
            </c:strRef>
          </c:tx>
          <c:spPr>
            <a:solidFill>
              <a:srgbClr val="DDE200"/>
            </a:solidFill>
            <a:ln>
              <a:noFill/>
            </a:ln>
            <a:effectLst/>
          </c:spPr>
          <c:invertIfNegative val="0"/>
          <c:cat>
            <c:multiLvlStrRef>
              <c:f>'Fig3'!$B$2:$D$3</c:f>
              <c:multiLvlStrCache>
                <c:ptCount val="3"/>
                <c:lvl>
                  <c:pt idx="0">
                    <c:v>Direct</c:v>
                  </c:pt>
                  <c:pt idx="1">
                    <c:v>Indirect</c:v>
                  </c:pt>
                  <c:pt idx="2">
                    <c:v>Total Aid</c:v>
                  </c:pt>
                </c:lvl>
                <c:lvl>
                  <c:pt idx="0">
                    <c:v>DFID </c:v>
                  </c:pt>
                </c:lvl>
              </c:multiLvlStrCache>
            </c:multiLvlStrRef>
          </c:cat>
          <c:val>
            <c:numRef>
              <c:f>'Fig3'!$B$5:$D$5</c:f>
              <c:numCache>
                <c:formatCode>_-* #,##0_-;\-* #,##0_-;_-* "-"??_-;_-@_-</c:formatCode>
                <c:ptCount val="3"/>
                <c:pt idx="0">
                  <c:v>15779.135722666666</c:v>
                </c:pt>
                <c:pt idx="1">
                  <c:v>39188.700000000004</c:v>
                </c:pt>
              </c:numCache>
            </c:numRef>
          </c:val>
          <c:extLst>
            <c:ext xmlns:c16="http://schemas.microsoft.com/office/drawing/2014/chart" uri="{C3380CC4-5D6E-409C-BE32-E72D297353CC}">
              <c16:uniqueId val="{00000001-A0C1-4E05-82B3-211126A38E10}"/>
            </c:ext>
          </c:extLst>
        </c:ser>
        <c:ser>
          <c:idx val="2"/>
          <c:order val="2"/>
          <c:tx>
            <c:strRef>
              <c:f>'Fig3'!$A$6</c:f>
              <c:strCache>
                <c:ptCount val="1"/>
                <c:pt idx="0">
                  <c:v>Amber/Red</c:v>
                </c:pt>
              </c:strCache>
            </c:strRef>
          </c:tx>
          <c:spPr>
            <a:solidFill>
              <a:srgbClr val="FE8002"/>
            </a:solidFill>
            <a:ln>
              <a:noFill/>
            </a:ln>
            <a:effectLst/>
          </c:spPr>
          <c:invertIfNegative val="0"/>
          <c:cat>
            <c:multiLvlStrRef>
              <c:f>'Fig3'!$B$2:$D$3</c:f>
              <c:multiLvlStrCache>
                <c:ptCount val="3"/>
                <c:lvl>
                  <c:pt idx="0">
                    <c:v>Direct</c:v>
                  </c:pt>
                  <c:pt idx="1">
                    <c:v>Indirect</c:v>
                  </c:pt>
                  <c:pt idx="2">
                    <c:v>Total Aid</c:v>
                  </c:pt>
                </c:lvl>
                <c:lvl>
                  <c:pt idx="0">
                    <c:v>DFID </c:v>
                  </c:pt>
                </c:lvl>
              </c:multiLvlStrCache>
            </c:multiLvlStrRef>
          </c:cat>
          <c:val>
            <c:numRef>
              <c:f>'Fig3'!$B$6:$D$6</c:f>
              <c:numCache>
                <c:formatCode>_-* #,##0_-;\-* #,##0_-;_-* "-"??_-;_-@_-</c:formatCode>
                <c:ptCount val="3"/>
                <c:pt idx="0">
                  <c:v>4291.4598000000005</c:v>
                </c:pt>
                <c:pt idx="1">
                  <c:v>11246.043133333333</c:v>
                </c:pt>
              </c:numCache>
            </c:numRef>
          </c:val>
          <c:extLst>
            <c:ext xmlns:c16="http://schemas.microsoft.com/office/drawing/2014/chart" uri="{C3380CC4-5D6E-409C-BE32-E72D297353CC}">
              <c16:uniqueId val="{00000002-A0C1-4E05-82B3-211126A38E10}"/>
            </c:ext>
          </c:extLst>
        </c:ser>
        <c:ser>
          <c:idx val="3"/>
          <c:order val="3"/>
          <c:tx>
            <c:strRef>
              <c:f>'Fig3'!$A$7</c:f>
              <c:strCache>
                <c:ptCount val="1"/>
                <c:pt idx="0">
                  <c:v>Red</c:v>
                </c:pt>
              </c:strCache>
            </c:strRef>
          </c:tx>
          <c:spPr>
            <a:solidFill>
              <a:srgbClr val="C00000"/>
            </a:solidFill>
            <a:ln>
              <a:noFill/>
            </a:ln>
            <a:effectLst/>
          </c:spPr>
          <c:invertIfNegative val="0"/>
          <c:cat>
            <c:multiLvlStrRef>
              <c:f>'Fig3'!$B$2:$D$3</c:f>
              <c:multiLvlStrCache>
                <c:ptCount val="3"/>
                <c:lvl>
                  <c:pt idx="0">
                    <c:v>Direct</c:v>
                  </c:pt>
                  <c:pt idx="1">
                    <c:v>Indirect</c:v>
                  </c:pt>
                  <c:pt idx="2">
                    <c:v>Total Aid</c:v>
                  </c:pt>
                </c:lvl>
                <c:lvl>
                  <c:pt idx="0">
                    <c:v>DFID </c:v>
                  </c:pt>
                </c:lvl>
              </c:multiLvlStrCache>
            </c:multiLvlStrRef>
          </c:cat>
          <c:val>
            <c:numRef>
              <c:f>'Fig3'!$B$7:$D$7</c:f>
              <c:numCache>
                <c:formatCode>_-* #,##0_-;\-* #,##0_-;_-* "-"??_-;_-@_-</c:formatCode>
                <c:ptCount val="3"/>
                <c:pt idx="0">
                  <c:v>109</c:v>
                </c:pt>
                <c:pt idx="1">
                  <c:v>109</c:v>
                </c:pt>
              </c:numCache>
            </c:numRef>
          </c:val>
          <c:extLst>
            <c:ext xmlns:c16="http://schemas.microsoft.com/office/drawing/2014/chart" uri="{C3380CC4-5D6E-409C-BE32-E72D297353CC}">
              <c16:uniqueId val="{00000003-A0C1-4E05-82B3-211126A38E10}"/>
            </c:ext>
          </c:extLst>
        </c:ser>
        <c:ser>
          <c:idx val="4"/>
          <c:order val="4"/>
          <c:tx>
            <c:strRef>
              <c:f>'Fig3'!$A$8</c:f>
              <c:strCache>
                <c:ptCount val="1"/>
                <c:pt idx="0">
                  <c:v>Not graded</c:v>
                </c:pt>
              </c:strCache>
            </c:strRef>
          </c:tx>
          <c:spPr>
            <a:solidFill>
              <a:schemeClr val="bg2">
                <a:lumMod val="90000"/>
              </a:schemeClr>
            </a:solidFill>
            <a:ln>
              <a:noFill/>
            </a:ln>
            <a:effectLst/>
          </c:spPr>
          <c:invertIfNegative val="0"/>
          <c:cat>
            <c:multiLvlStrRef>
              <c:f>'Fig3'!$B$2:$D$3</c:f>
              <c:multiLvlStrCache>
                <c:ptCount val="3"/>
                <c:lvl>
                  <c:pt idx="0">
                    <c:v>Direct</c:v>
                  </c:pt>
                  <c:pt idx="1">
                    <c:v>Indirect</c:v>
                  </c:pt>
                  <c:pt idx="2">
                    <c:v>Total Aid</c:v>
                  </c:pt>
                </c:lvl>
                <c:lvl>
                  <c:pt idx="0">
                    <c:v>DFID </c:v>
                  </c:pt>
                </c:lvl>
              </c:multiLvlStrCache>
            </c:multiLvlStrRef>
          </c:cat>
          <c:val>
            <c:numRef>
              <c:f>'Fig3'!$B$8:$D$8</c:f>
              <c:numCache>
                <c:formatCode>_-* #,##0_-;\-* #,##0_-;_-* "-"??_-;_-@_-</c:formatCode>
                <c:ptCount val="3"/>
                <c:pt idx="0">
                  <c:v>4079.9000000000005</c:v>
                </c:pt>
                <c:pt idx="1">
                  <c:v>4928.2000000000007</c:v>
                </c:pt>
              </c:numCache>
            </c:numRef>
          </c:val>
          <c:extLst>
            <c:ext xmlns:c16="http://schemas.microsoft.com/office/drawing/2014/chart" uri="{C3380CC4-5D6E-409C-BE32-E72D297353CC}">
              <c16:uniqueId val="{00000004-A0C1-4E05-82B3-211126A38E10}"/>
            </c:ext>
          </c:extLst>
        </c:ser>
        <c:ser>
          <c:idx val="5"/>
          <c:order val="5"/>
          <c:tx>
            <c:strRef>
              <c:f>'Fig3'!$A$9</c:f>
              <c:strCache>
                <c:ptCount val="1"/>
                <c:pt idx="0">
                  <c:v>Total Departmental Aid 2011-2017</c:v>
                </c:pt>
              </c:strCache>
            </c:strRef>
          </c:tx>
          <c:spPr>
            <a:solidFill>
              <a:schemeClr val="accent5">
                <a:lumMod val="40000"/>
                <a:lumOff val="60000"/>
              </a:schemeClr>
            </a:solidFill>
            <a:ln>
              <a:noFill/>
            </a:ln>
            <a:effectLst/>
          </c:spPr>
          <c:invertIfNegative val="0"/>
          <c:cat>
            <c:multiLvlStrRef>
              <c:f>'Fig3'!$B$2:$D$3</c:f>
              <c:multiLvlStrCache>
                <c:ptCount val="3"/>
                <c:lvl>
                  <c:pt idx="0">
                    <c:v>Direct</c:v>
                  </c:pt>
                  <c:pt idx="1">
                    <c:v>Indirect</c:v>
                  </c:pt>
                  <c:pt idx="2">
                    <c:v>Total Aid</c:v>
                  </c:pt>
                </c:lvl>
                <c:lvl>
                  <c:pt idx="0">
                    <c:v>DFID </c:v>
                  </c:pt>
                </c:lvl>
              </c:multiLvlStrCache>
            </c:multiLvlStrRef>
          </c:cat>
          <c:val>
            <c:numRef>
              <c:f>'Fig3'!$B$9:$D$9</c:f>
              <c:numCache>
                <c:formatCode>General</c:formatCode>
                <c:ptCount val="3"/>
                <c:pt idx="2" formatCode="&quot;£&quot;#,##0">
                  <c:v>73017.456138996495</c:v>
                </c:pt>
              </c:numCache>
            </c:numRef>
          </c:val>
          <c:extLst>
            <c:ext xmlns:c16="http://schemas.microsoft.com/office/drawing/2014/chart" uri="{C3380CC4-5D6E-409C-BE32-E72D297353CC}">
              <c16:uniqueId val="{00000005-A0C1-4E05-82B3-211126A38E10}"/>
            </c:ext>
          </c:extLst>
        </c:ser>
        <c:dLbls>
          <c:showLegendKey val="0"/>
          <c:showVal val="0"/>
          <c:showCatName val="0"/>
          <c:showSerName val="0"/>
          <c:showPercent val="0"/>
          <c:showBubbleSize val="0"/>
        </c:dLbls>
        <c:gapWidth val="150"/>
        <c:overlap val="100"/>
        <c:axId val="1096403888"/>
        <c:axId val="968553056"/>
      </c:barChart>
      <c:catAx>
        <c:axId val="1096403888"/>
        <c:scaling>
          <c:orientation val="minMax"/>
        </c:scaling>
        <c:delete val="0"/>
        <c:axPos val="b"/>
        <c:numFmt formatCode="General" sourceLinked="1"/>
        <c:majorTickMark val="none"/>
        <c:minorTickMark val="none"/>
        <c:tickLblPos val="nextTo"/>
        <c:spPr>
          <a:noFill/>
          <a:ln w="9525" cap="flat" cmpd="sng" algn="ctr">
            <a:solidFill>
              <a:schemeClr val="bg2">
                <a:lumMod val="9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8553056"/>
        <c:crosses val="autoZero"/>
        <c:auto val="1"/>
        <c:lblAlgn val="ctr"/>
        <c:lblOffset val="100"/>
        <c:noMultiLvlLbl val="0"/>
      </c:catAx>
      <c:valAx>
        <c:axId val="968553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p>
            </c:rich>
          </c:tx>
          <c:layout>
            <c:manualLayout>
              <c:xMode val="edge"/>
              <c:yMode val="edge"/>
              <c:x val="8.0051130835554027E-2"/>
              <c:y val="0.46240986324077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403888"/>
        <c:crosses val="autoZero"/>
        <c:crossBetween val="between"/>
        <c:majorUnit val="2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'Fig4'!$E$1</c:f>
              <c:strCache>
                <c:ptCount val="1"/>
                <c:pt idx="0">
                  <c:v>Green</c:v>
                </c:pt>
              </c:strCache>
            </c:strRef>
          </c:tx>
          <c:spPr>
            <a:solidFill>
              <a:srgbClr val="00B050"/>
            </a:solidFill>
            <a:ln>
              <a:noFill/>
            </a:ln>
            <a:effectLst/>
          </c:spPr>
          <c:invertIfNegative val="0"/>
          <c:cat>
            <c:multiLvlStrRef>
              <c:f>'Fig4'!$B$2:$C$9</c:f>
              <c:multiLvlStrCache>
                <c:ptCount val="8"/>
                <c:lvl>
                  <c:pt idx="0">
                    <c:v>Graded reviews</c:v>
                  </c:pt>
                  <c:pt idx="1">
                    <c:v>All reviews</c:v>
                  </c:pt>
                  <c:pt idx="2">
                    <c:v>Graded reviews</c:v>
                  </c:pt>
                  <c:pt idx="3">
                    <c:v>All reviews</c:v>
                  </c:pt>
                  <c:pt idx="4">
                    <c:v>Graded reviews</c:v>
                  </c:pt>
                  <c:pt idx="5">
                    <c:v>All reviews</c:v>
                  </c:pt>
                  <c:pt idx="6">
                    <c:v>Graded reviews</c:v>
                  </c:pt>
                  <c:pt idx="7">
                    <c:v>All reviews</c:v>
                  </c:pt>
                </c:lvl>
                <c:lvl>
                  <c:pt idx="0">
                    <c:v>DFID
 (58 reviews)
(55 graded reviews)</c:v>
                  </c:pt>
                  <c:pt idx="2">
                    <c:v>FCO
 (4 reviews)
(3 graded reviews)</c:v>
                  </c:pt>
                  <c:pt idx="4">
                    <c:v>BEIS
 (1 reviews)
(0 graded reviews)</c:v>
                  </c:pt>
                  <c:pt idx="6">
                    <c:v>Home Office
 (0 reviews)
(0 graded reviews)</c:v>
                  </c:pt>
                </c:lvl>
              </c:multiLvlStrCache>
            </c:multiLvlStrRef>
          </c:cat>
          <c:val>
            <c:numRef>
              <c:f>'Fig4'!$E$2:$E$9</c:f>
              <c:numCache>
                <c:formatCode>General</c:formatCode>
                <c:ptCount val="8"/>
                <c:pt idx="0">
                  <c:v>4</c:v>
                </c:pt>
                <c:pt idx="1">
                  <c:v>4</c:v>
                </c:pt>
                <c:pt idx="2">
                  <c:v>0</c:v>
                </c:pt>
                <c:pt idx="3">
                  <c:v>0</c:v>
                </c:pt>
                <c:pt idx="4">
                  <c:v>0</c:v>
                </c:pt>
                <c:pt idx="5">
                  <c:v>0</c:v>
                </c:pt>
                <c:pt idx="6">
                  <c:v>0</c:v>
                </c:pt>
                <c:pt idx="7">
                  <c:v>0</c:v>
                </c:pt>
              </c:numCache>
            </c:numRef>
          </c:val>
          <c:extLst>
            <c:ext xmlns:c16="http://schemas.microsoft.com/office/drawing/2014/chart" uri="{C3380CC4-5D6E-409C-BE32-E72D297353CC}">
              <c16:uniqueId val="{00000000-FE1F-46C8-B0CF-DC1DE14BF78F}"/>
            </c:ext>
          </c:extLst>
        </c:ser>
        <c:ser>
          <c:idx val="1"/>
          <c:order val="1"/>
          <c:tx>
            <c:strRef>
              <c:f>'Fig4'!$F$1</c:f>
              <c:strCache>
                <c:ptCount val="1"/>
                <c:pt idx="0">
                  <c:v>Green/Amber</c:v>
                </c:pt>
              </c:strCache>
            </c:strRef>
          </c:tx>
          <c:spPr>
            <a:solidFill>
              <a:srgbClr val="DDE200"/>
            </a:solidFill>
            <a:ln>
              <a:noFill/>
            </a:ln>
            <a:effectLst/>
          </c:spPr>
          <c:invertIfNegative val="0"/>
          <c:cat>
            <c:multiLvlStrRef>
              <c:f>'Fig4'!$B$2:$C$9</c:f>
              <c:multiLvlStrCache>
                <c:ptCount val="8"/>
                <c:lvl>
                  <c:pt idx="0">
                    <c:v>Graded reviews</c:v>
                  </c:pt>
                  <c:pt idx="1">
                    <c:v>All reviews</c:v>
                  </c:pt>
                  <c:pt idx="2">
                    <c:v>Graded reviews</c:v>
                  </c:pt>
                  <c:pt idx="3">
                    <c:v>All reviews</c:v>
                  </c:pt>
                  <c:pt idx="4">
                    <c:v>Graded reviews</c:v>
                  </c:pt>
                  <c:pt idx="5">
                    <c:v>All reviews</c:v>
                  </c:pt>
                  <c:pt idx="6">
                    <c:v>Graded reviews</c:v>
                  </c:pt>
                  <c:pt idx="7">
                    <c:v>All reviews</c:v>
                  </c:pt>
                </c:lvl>
                <c:lvl>
                  <c:pt idx="0">
                    <c:v>DFID
 (58 reviews)
(55 graded reviews)</c:v>
                  </c:pt>
                  <c:pt idx="2">
                    <c:v>FCO
 (4 reviews)
(3 graded reviews)</c:v>
                  </c:pt>
                  <c:pt idx="4">
                    <c:v>BEIS
 (1 reviews)
(0 graded reviews)</c:v>
                  </c:pt>
                  <c:pt idx="6">
                    <c:v>Home Office
 (0 reviews)
(0 graded reviews)</c:v>
                  </c:pt>
                </c:lvl>
              </c:multiLvlStrCache>
            </c:multiLvlStrRef>
          </c:cat>
          <c:val>
            <c:numRef>
              <c:f>'Fig4'!$F$2:$F$9</c:f>
              <c:numCache>
                <c:formatCode>General</c:formatCode>
                <c:ptCount val="8"/>
                <c:pt idx="0">
                  <c:v>32</c:v>
                </c:pt>
                <c:pt idx="1">
                  <c:v>32</c:v>
                </c:pt>
                <c:pt idx="2">
                  <c:v>1</c:v>
                </c:pt>
                <c:pt idx="3">
                  <c:v>1</c:v>
                </c:pt>
                <c:pt idx="4">
                  <c:v>0</c:v>
                </c:pt>
                <c:pt idx="5">
                  <c:v>0</c:v>
                </c:pt>
                <c:pt idx="6">
                  <c:v>0</c:v>
                </c:pt>
                <c:pt idx="7">
                  <c:v>0</c:v>
                </c:pt>
              </c:numCache>
            </c:numRef>
          </c:val>
          <c:extLst>
            <c:ext xmlns:c16="http://schemas.microsoft.com/office/drawing/2014/chart" uri="{C3380CC4-5D6E-409C-BE32-E72D297353CC}">
              <c16:uniqueId val="{00000001-FE1F-46C8-B0CF-DC1DE14BF78F}"/>
            </c:ext>
          </c:extLst>
        </c:ser>
        <c:ser>
          <c:idx val="2"/>
          <c:order val="2"/>
          <c:tx>
            <c:strRef>
              <c:f>'Fig4'!$G$1</c:f>
              <c:strCache>
                <c:ptCount val="1"/>
                <c:pt idx="0">
                  <c:v>Amber/Red</c:v>
                </c:pt>
              </c:strCache>
            </c:strRef>
          </c:tx>
          <c:spPr>
            <a:solidFill>
              <a:srgbClr val="FE8002"/>
            </a:solidFill>
            <a:ln>
              <a:noFill/>
            </a:ln>
            <a:effectLst/>
          </c:spPr>
          <c:invertIfNegative val="0"/>
          <c:cat>
            <c:multiLvlStrRef>
              <c:f>'Fig4'!$B$2:$C$9</c:f>
              <c:multiLvlStrCache>
                <c:ptCount val="8"/>
                <c:lvl>
                  <c:pt idx="0">
                    <c:v>Graded reviews</c:v>
                  </c:pt>
                  <c:pt idx="1">
                    <c:v>All reviews</c:v>
                  </c:pt>
                  <c:pt idx="2">
                    <c:v>Graded reviews</c:v>
                  </c:pt>
                  <c:pt idx="3">
                    <c:v>All reviews</c:v>
                  </c:pt>
                  <c:pt idx="4">
                    <c:v>Graded reviews</c:v>
                  </c:pt>
                  <c:pt idx="5">
                    <c:v>All reviews</c:v>
                  </c:pt>
                  <c:pt idx="6">
                    <c:v>Graded reviews</c:v>
                  </c:pt>
                  <c:pt idx="7">
                    <c:v>All reviews</c:v>
                  </c:pt>
                </c:lvl>
                <c:lvl>
                  <c:pt idx="0">
                    <c:v>DFID
 (58 reviews)
(55 graded reviews)</c:v>
                  </c:pt>
                  <c:pt idx="2">
                    <c:v>FCO
 (4 reviews)
(3 graded reviews)</c:v>
                  </c:pt>
                  <c:pt idx="4">
                    <c:v>BEIS
 (1 reviews)
(0 graded reviews)</c:v>
                  </c:pt>
                  <c:pt idx="6">
                    <c:v>Home Office
 (0 reviews)
(0 graded reviews)</c:v>
                  </c:pt>
                </c:lvl>
              </c:multiLvlStrCache>
            </c:multiLvlStrRef>
          </c:cat>
          <c:val>
            <c:numRef>
              <c:f>'Fig4'!$G$2:$G$9</c:f>
              <c:numCache>
                <c:formatCode>General</c:formatCode>
                <c:ptCount val="8"/>
                <c:pt idx="0">
                  <c:v>18</c:v>
                </c:pt>
                <c:pt idx="1">
                  <c:v>18</c:v>
                </c:pt>
                <c:pt idx="2">
                  <c:v>2</c:v>
                </c:pt>
                <c:pt idx="3">
                  <c:v>2</c:v>
                </c:pt>
                <c:pt idx="4">
                  <c:v>0</c:v>
                </c:pt>
                <c:pt idx="5">
                  <c:v>0</c:v>
                </c:pt>
                <c:pt idx="6">
                  <c:v>0</c:v>
                </c:pt>
                <c:pt idx="7">
                  <c:v>0</c:v>
                </c:pt>
              </c:numCache>
            </c:numRef>
          </c:val>
          <c:extLst>
            <c:ext xmlns:c16="http://schemas.microsoft.com/office/drawing/2014/chart" uri="{C3380CC4-5D6E-409C-BE32-E72D297353CC}">
              <c16:uniqueId val="{00000002-FE1F-46C8-B0CF-DC1DE14BF78F}"/>
            </c:ext>
          </c:extLst>
        </c:ser>
        <c:ser>
          <c:idx val="3"/>
          <c:order val="3"/>
          <c:tx>
            <c:strRef>
              <c:f>'Fig4'!$H$1</c:f>
              <c:strCache>
                <c:ptCount val="1"/>
                <c:pt idx="0">
                  <c:v>Red</c:v>
                </c:pt>
              </c:strCache>
            </c:strRef>
          </c:tx>
          <c:spPr>
            <a:solidFill>
              <a:srgbClr val="C00000"/>
            </a:solidFill>
            <a:ln>
              <a:noFill/>
            </a:ln>
            <a:effectLst/>
          </c:spPr>
          <c:invertIfNegative val="0"/>
          <c:cat>
            <c:multiLvlStrRef>
              <c:f>'Fig4'!$B$2:$C$9</c:f>
              <c:multiLvlStrCache>
                <c:ptCount val="8"/>
                <c:lvl>
                  <c:pt idx="0">
                    <c:v>Graded reviews</c:v>
                  </c:pt>
                  <c:pt idx="1">
                    <c:v>All reviews</c:v>
                  </c:pt>
                  <c:pt idx="2">
                    <c:v>Graded reviews</c:v>
                  </c:pt>
                  <c:pt idx="3">
                    <c:v>All reviews</c:v>
                  </c:pt>
                  <c:pt idx="4">
                    <c:v>Graded reviews</c:v>
                  </c:pt>
                  <c:pt idx="5">
                    <c:v>All reviews</c:v>
                  </c:pt>
                  <c:pt idx="6">
                    <c:v>Graded reviews</c:v>
                  </c:pt>
                  <c:pt idx="7">
                    <c:v>All reviews</c:v>
                  </c:pt>
                </c:lvl>
                <c:lvl>
                  <c:pt idx="0">
                    <c:v>DFID
 (58 reviews)
(55 graded reviews)</c:v>
                  </c:pt>
                  <c:pt idx="2">
                    <c:v>FCO
 (4 reviews)
(3 graded reviews)</c:v>
                  </c:pt>
                  <c:pt idx="4">
                    <c:v>BEIS
 (1 reviews)
(0 graded reviews)</c:v>
                  </c:pt>
                  <c:pt idx="6">
                    <c:v>Home Office
 (0 reviews)
(0 graded reviews)</c:v>
                  </c:pt>
                </c:lvl>
              </c:multiLvlStrCache>
            </c:multiLvlStrRef>
          </c:cat>
          <c:val>
            <c:numRef>
              <c:f>'Fig4'!$H$2:$H$9</c:f>
              <c:numCache>
                <c:formatCode>General</c:formatCode>
                <c:ptCount val="8"/>
                <c:pt idx="0">
                  <c:v>1</c:v>
                </c:pt>
                <c:pt idx="1">
                  <c:v>1</c:v>
                </c:pt>
                <c:pt idx="2">
                  <c:v>0</c:v>
                </c:pt>
                <c:pt idx="3">
                  <c:v>0</c:v>
                </c:pt>
                <c:pt idx="4">
                  <c:v>0</c:v>
                </c:pt>
                <c:pt idx="5">
                  <c:v>0</c:v>
                </c:pt>
                <c:pt idx="6">
                  <c:v>0</c:v>
                </c:pt>
                <c:pt idx="7">
                  <c:v>0</c:v>
                </c:pt>
              </c:numCache>
            </c:numRef>
          </c:val>
          <c:extLst>
            <c:ext xmlns:c16="http://schemas.microsoft.com/office/drawing/2014/chart" uri="{C3380CC4-5D6E-409C-BE32-E72D297353CC}">
              <c16:uniqueId val="{00000003-FE1F-46C8-B0CF-DC1DE14BF78F}"/>
            </c:ext>
          </c:extLst>
        </c:ser>
        <c:ser>
          <c:idx val="4"/>
          <c:order val="4"/>
          <c:tx>
            <c:strRef>
              <c:f>'Fig4'!$I$1</c:f>
              <c:strCache>
                <c:ptCount val="1"/>
                <c:pt idx="0">
                  <c:v>Not graded</c:v>
                </c:pt>
              </c:strCache>
            </c:strRef>
          </c:tx>
          <c:spPr>
            <a:solidFill>
              <a:schemeClr val="bg2">
                <a:lumMod val="90000"/>
              </a:schemeClr>
            </a:solidFill>
            <a:ln>
              <a:noFill/>
            </a:ln>
            <a:effectLst/>
          </c:spPr>
          <c:invertIfNegative val="0"/>
          <c:cat>
            <c:multiLvlStrRef>
              <c:f>'Fig4'!$B$2:$C$9</c:f>
              <c:multiLvlStrCache>
                <c:ptCount val="8"/>
                <c:lvl>
                  <c:pt idx="0">
                    <c:v>Graded reviews</c:v>
                  </c:pt>
                  <c:pt idx="1">
                    <c:v>All reviews</c:v>
                  </c:pt>
                  <c:pt idx="2">
                    <c:v>Graded reviews</c:v>
                  </c:pt>
                  <c:pt idx="3">
                    <c:v>All reviews</c:v>
                  </c:pt>
                  <c:pt idx="4">
                    <c:v>Graded reviews</c:v>
                  </c:pt>
                  <c:pt idx="5">
                    <c:v>All reviews</c:v>
                  </c:pt>
                  <c:pt idx="6">
                    <c:v>Graded reviews</c:v>
                  </c:pt>
                  <c:pt idx="7">
                    <c:v>All reviews</c:v>
                  </c:pt>
                </c:lvl>
                <c:lvl>
                  <c:pt idx="0">
                    <c:v>DFID
 (58 reviews)
(55 graded reviews)</c:v>
                  </c:pt>
                  <c:pt idx="2">
                    <c:v>FCO
 (4 reviews)
(3 graded reviews)</c:v>
                  </c:pt>
                  <c:pt idx="4">
                    <c:v>BEIS
 (1 reviews)
(0 graded reviews)</c:v>
                  </c:pt>
                  <c:pt idx="6">
                    <c:v>Home Office
 (0 reviews)
(0 graded reviews)</c:v>
                  </c:pt>
                </c:lvl>
              </c:multiLvlStrCache>
            </c:multiLvlStrRef>
          </c:cat>
          <c:val>
            <c:numRef>
              <c:f>'Fig4'!$I$2:$I$9</c:f>
              <c:numCache>
                <c:formatCode>General</c:formatCode>
                <c:ptCount val="8"/>
                <c:pt idx="1">
                  <c:v>3</c:v>
                </c:pt>
                <c:pt idx="3">
                  <c:v>1</c:v>
                </c:pt>
                <c:pt idx="5">
                  <c:v>1</c:v>
                </c:pt>
                <c:pt idx="7">
                  <c:v>0</c:v>
                </c:pt>
              </c:numCache>
            </c:numRef>
          </c:val>
          <c:extLst>
            <c:ext xmlns:c16="http://schemas.microsoft.com/office/drawing/2014/chart" uri="{C3380CC4-5D6E-409C-BE32-E72D297353CC}">
              <c16:uniqueId val="{00000004-FE1F-46C8-B0CF-DC1DE14BF78F}"/>
            </c:ext>
          </c:extLst>
        </c:ser>
        <c:dLbls>
          <c:showLegendKey val="0"/>
          <c:showVal val="0"/>
          <c:showCatName val="0"/>
          <c:showSerName val="0"/>
          <c:showPercent val="0"/>
          <c:showBubbleSize val="0"/>
        </c:dLbls>
        <c:gapWidth val="150"/>
        <c:overlap val="100"/>
        <c:axId val="1009489135"/>
        <c:axId val="1039654687"/>
      </c:barChart>
      <c:catAx>
        <c:axId val="1009489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654687"/>
        <c:crosses val="autoZero"/>
        <c:auto val="1"/>
        <c:lblAlgn val="ctr"/>
        <c:lblOffset val="100"/>
        <c:noMultiLvlLbl val="0"/>
      </c:catAx>
      <c:valAx>
        <c:axId val="103965468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489135"/>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'Fig5'!$C$1</c:f>
              <c:strCache>
                <c:ptCount val="1"/>
                <c:pt idx="0">
                  <c:v>Green</c:v>
                </c:pt>
              </c:strCache>
            </c:strRef>
          </c:tx>
          <c:spPr>
            <a:solidFill>
              <a:srgbClr val="00B050"/>
            </a:solidFill>
            <a:ln>
              <a:noFill/>
            </a:ln>
            <a:effectLst/>
          </c:spPr>
          <c:invertIfNegative val="0"/>
          <c:cat>
            <c:multiLvlStrRef>
              <c:f>'Fig5'!$A$2:$B$7</c:f>
              <c:multiLvlStrCache>
                <c:ptCount val="6"/>
                <c:lvl>
                  <c:pt idx="0">
                    <c:v>Graded reviews only</c:v>
                  </c:pt>
                  <c:pt idx="1">
                    <c:v>All reviews</c:v>
                  </c:pt>
                  <c:pt idx="2">
                    <c:v>Graded reviews only</c:v>
                  </c:pt>
                  <c:pt idx="3">
                    <c:v>All reviews</c:v>
                  </c:pt>
                  <c:pt idx="4">
                    <c:v>Graded reviews only</c:v>
                  </c:pt>
                  <c:pt idx="5">
                    <c:v>All reviews</c:v>
                  </c:pt>
                </c:lvl>
                <c:lvl>
                  <c:pt idx="0">
                    <c:v>DFID: 57 graded reviews
£25bn directly evaluated</c:v>
                  </c:pt>
                  <c:pt idx="2">
                    <c:v>FCO: 4 graded reviews
£1bn directly evaluated</c:v>
                  </c:pt>
                  <c:pt idx="4">
                    <c:v>BEIS: 0 graded reviews
£1bn directly evaluated</c:v>
                  </c:pt>
                </c:lvl>
              </c:multiLvlStrCache>
            </c:multiLvlStrRef>
          </c:cat>
          <c:val>
            <c:numRef>
              <c:f>'Fig5'!$C$2:$C$7</c:f>
              <c:numCache>
                <c:formatCode>0%</c:formatCode>
                <c:ptCount val="6"/>
                <c:pt idx="0">
                  <c:v>2.0813135862364697E-2</c:v>
                </c:pt>
                <c:pt idx="1">
                  <c:v>1.7373648811808386E-2</c:v>
                </c:pt>
                <c:pt idx="2">
                  <c:v>0</c:v>
                </c:pt>
                <c:pt idx="3">
                  <c:v>0</c:v>
                </c:pt>
                <c:pt idx="4">
                  <c:v>0</c:v>
                </c:pt>
                <c:pt idx="5">
                  <c:v>0</c:v>
                </c:pt>
              </c:numCache>
            </c:numRef>
          </c:val>
          <c:extLst>
            <c:ext xmlns:c16="http://schemas.microsoft.com/office/drawing/2014/chart" uri="{C3380CC4-5D6E-409C-BE32-E72D297353CC}">
              <c16:uniqueId val="{00000000-3A99-4752-9B4F-38A03A4836F1}"/>
            </c:ext>
          </c:extLst>
        </c:ser>
        <c:ser>
          <c:idx val="1"/>
          <c:order val="1"/>
          <c:tx>
            <c:strRef>
              <c:f>'Fig5'!$D$1</c:f>
              <c:strCache>
                <c:ptCount val="1"/>
                <c:pt idx="0">
                  <c:v>Green/Amber</c:v>
                </c:pt>
              </c:strCache>
            </c:strRef>
          </c:tx>
          <c:spPr>
            <a:solidFill>
              <a:srgbClr val="DDE200"/>
            </a:solidFill>
            <a:ln>
              <a:noFill/>
            </a:ln>
            <a:effectLst/>
          </c:spPr>
          <c:invertIfNegative val="0"/>
          <c:cat>
            <c:multiLvlStrRef>
              <c:f>'Fig5'!$A$2:$B$7</c:f>
              <c:multiLvlStrCache>
                <c:ptCount val="6"/>
                <c:lvl>
                  <c:pt idx="0">
                    <c:v>Graded reviews only</c:v>
                  </c:pt>
                  <c:pt idx="1">
                    <c:v>All reviews</c:v>
                  </c:pt>
                  <c:pt idx="2">
                    <c:v>Graded reviews only</c:v>
                  </c:pt>
                  <c:pt idx="3">
                    <c:v>All reviews</c:v>
                  </c:pt>
                  <c:pt idx="4">
                    <c:v>Graded reviews only</c:v>
                  </c:pt>
                  <c:pt idx="5">
                    <c:v>All reviews</c:v>
                  </c:pt>
                </c:lvl>
                <c:lvl>
                  <c:pt idx="0">
                    <c:v>DFID: 57 graded reviews
£25bn directly evaluated</c:v>
                  </c:pt>
                  <c:pt idx="2">
                    <c:v>FCO: 4 graded reviews
£1bn directly evaluated</c:v>
                  </c:pt>
                  <c:pt idx="4">
                    <c:v>BEIS: 0 graded reviews
£1bn directly evaluated</c:v>
                  </c:pt>
                </c:lvl>
              </c:multiLvlStrCache>
            </c:multiLvlStrRef>
          </c:cat>
          <c:val>
            <c:numRef>
              <c:f>'Fig5'!$D$2:$D$7</c:f>
              <c:numCache>
                <c:formatCode>0%</c:formatCode>
                <c:ptCount val="6"/>
                <c:pt idx="0">
                  <c:v>0.76566066003281075</c:v>
                </c:pt>
                <c:pt idx="1">
                  <c:v>0.63913095577689261</c:v>
                </c:pt>
                <c:pt idx="2">
                  <c:v>0.21441215754190662</c:v>
                </c:pt>
                <c:pt idx="3">
                  <c:v>4.4945671612999158E-2</c:v>
                </c:pt>
                <c:pt idx="4">
                  <c:v>0</c:v>
                </c:pt>
                <c:pt idx="5">
                  <c:v>0</c:v>
                </c:pt>
              </c:numCache>
            </c:numRef>
          </c:val>
          <c:extLst>
            <c:ext xmlns:c16="http://schemas.microsoft.com/office/drawing/2014/chart" uri="{C3380CC4-5D6E-409C-BE32-E72D297353CC}">
              <c16:uniqueId val="{00000001-3A99-4752-9B4F-38A03A4836F1}"/>
            </c:ext>
          </c:extLst>
        </c:ser>
        <c:ser>
          <c:idx val="2"/>
          <c:order val="2"/>
          <c:tx>
            <c:strRef>
              <c:f>'Fig5'!$E$1</c:f>
              <c:strCache>
                <c:ptCount val="1"/>
                <c:pt idx="0">
                  <c:v>Amber/Red</c:v>
                </c:pt>
              </c:strCache>
            </c:strRef>
          </c:tx>
          <c:spPr>
            <a:solidFill>
              <a:srgbClr val="FE8002"/>
            </a:solidFill>
            <a:ln>
              <a:noFill/>
            </a:ln>
            <a:effectLst/>
          </c:spPr>
          <c:invertIfNegative val="0"/>
          <c:cat>
            <c:multiLvlStrRef>
              <c:f>'Fig5'!$A$2:$B$7</c:f>
              <c:multiLvlStrCache>
                <c:ptCount val="6"/>
                <c:lvl>
                  <c:pt idx="0">
                    <c:v>Graded reviews only</c:v>
                  </c:pt>
                  <c:pt idx="1">
                    <c:v>All reviews</c:v>
                  </c:pt>
                  <c:pt idx="2">
                    <c:v>Graded reviews only</c:v>
                  </c:pt>
                  <c:pt idx="3">
                    <c:v>All reviews</c:v>
                  </c:pt>
                  <c:pt idx="4">
                    <c:v>Graded reviews only</c:v>
                  </c:pt>
                  <c:pt idx="5">
                    <c:v>All reviews</c:v>
                  </c:pt>
                </c:lvl>
                <c:lvl>
                  <c:pt idx="0">
                    <c:v>DFID: 57 graded reviews
£25bn directly evaluated</c:v>
                  </c:pt>
                  <c:pt idx="2">
                    <c:v>FCO: 4 graded reviews
£1bn directly evaluated</c:v>
                  </c:pt>
                  <c:pt idx="4">
                    <c:v>BEIS: 0 graded reviews
£1bn directly evaluated</c:v>
                  </c:pt>
                </c:lvl>
              </c:multiLvlStrCache>
            </c:multiLvlStrRef>
          </c:cat>
          <c:val>
            <c:numRef>
              <c:f>'Fig5'!$E$2:$E$7</c:f>
              <c:numCache>
                <c:formatCode>0%</c:formatCode>
                <c:ptCount val="6"/>
                <c:pt idx="0">
                  <c:v>0.20823713039315792</c:v>
                </c:pt>
                <c:pt idx="1">
                  <c:v>0.17382478051139927</c:v>
                </c:pt>
                <c:pt idx="2">
                  <c:v>0.78558784245809343</c:v>
                </c:pt>
                <c:pt idx="3">
                  <c:v>0.16467710411143513</c:v>
                </c:pt>
                <c:pt idx="4">
                  <c:v>0</c:v>
                </c:pt>
                <c:pt idx="5">
                  <c:v>0</c:v>
                </c:pt>
              </c:numCache>
            </c:numRef>
          </c:val>
          <c:extLst>
            <c:ext xmlns:c16="http://schemas.microsoft.com/office/drawing/2014/chart" uri="{C3380CC4-5D6E-409C-BE32-E72D297353CC}">
              <c16:uniqueId val="{00000002-3A99-4752-9B4F-38A03A4836F1}"/>
            </c:ext>
          </c:extLst>
        </c:ser>
        <c:ser>
          <c:idx val="3"/>
          <c:order val="3"/>
          <c:tx>
            <c:strRef>
              <c:f>'Fig5'!$F$1</c:f>
              <c:strCache>
                <c:ptCount val="1"/>
                <c:pt idx="0">
                  <c:v>Red</c:v>
                </c:pt>
              </c:strCache>
            </c:strRef>
          </c:tx>
          <c:spPr>
            <a:solidFill>
              <a:srgbClr val="C00000"/>
            </a:solidFill>
            <a:ln>
              <a:noFill/>
            </a:ln>
            <a:effectLst/>
          </c:spPr>
          <c:invertIfNegative val="0"/>
          <c:cat>
            <c:multiLvlStrRef>
              <c:f>'Fig5'!$A$2:$B$7</c:f>
              <c:multiLvlStrCache>
                <c:ptCount val="6"/>
                <c:lvl>
                  <c:pt idx="0">
                    <c:v>Graded reviews only</c:v>
                  </c:pt>
                  <c:pt idx="1">
                    <c:v>All reviews</c:v>
                  </c:pt>
                  <c:pt idx="2">
                    <c:v>Graded reviews only</c:v>
                  </c:pt>
                  <c:pt idx="3">
                    <c:v>All reviews</c:v>
                  </c:pt>
                  <c:pt idx="4">
                    <c:v>Graded reviews only</c:v>
                  </c:pt>
                  <c:pt idx="5">
                    <c:v>All reviews</c:v>
                  </c:pt>
                </c:lvl>
                <c:lvl>
                  <c:pt idx="0">
                    <c:v>DFID: 57 graded reviews
£25bn directly evaluated</c:v>
                  </c:pt>
                  <c:pt idx="2">
                    <c:v>FCO: 4 graded reviews
£1bn directly evaluated</c:v>
                  </c:pt>
                  <c:pt idx="4">
                    <c:v>BEIS: 0 graded reviews
£1bn directly evaluated</c:v>
                  </c:pt>
                </c:lvl>
              </c:multiLvlStrCache>
            </c:multiLvlStrRef>
          </c:cat>
          <c:val>
            <c:numRef>
              <c:f>'Fig5'!$F$2:$F$7</c:f>
              <c:numCache>
                <c:formatCode>0%</c:formatCode>
                <c:ptCount val="6"/>
                <c:pt idx="0">
                  <c:v>5.2890737116666475E-3</c:v>
                </c:pt>
                <c:pt idx="1">
                  <c:v>4.4150247139079614E-3</c:v>
                </c:pt>
                <c:pt idx="2">
                  <c:v>0</c:v>
                </c:pt>
                <c:pt idx="3">
                  <c:v>0</c:v>
                </c:pt>
                <c:pt idx="4">
                  <c:v>0</c:v>
                </c:pt>
                <c:pt idx="5">
                  <c:v>0</c:v>
                </c:pt>
              </c:numCache>
            </c:numRef>
          </c:val>
          <c:extLst>
            <c:ext xmlns:c16="http://schemas.microsoft.com/office/drawing/2014/chart" uri="{C3380CC4-5D6E-409C-BE32-E72D297353CC}">
              <c16:uniqueId val="{00000003-3A99-4752-9B4F-38A03A4836F1}"/>
            </c:ext>
          </c:extLst>
        </c:ser>
        <c:ser>
          <c:idx val="4"/>
          <c:order val="4"/>
          <c:tx>
            <c:strRef>
              <c:f>'Fig5'!$G$1</c:f>
              <c:strCache>
                <c:ptCount val="1"/>
                <c:pt idx="0">
                  <c:v>Not graded</c:v>
                </c:pt>
              </c:strCache>
            </c:strRef>
          </c:tx>
          <c:spPr>
            <a:solidFill>
              <a:schemeClr val="bg2">
                <a:lumMod val="90000"/>
              </a:schemeClr>
            </a:solidFill>
            <a:ln>
              <a:noFill/>
            </a:ln>
            <a:effectLst/>
          </c:spPr>
          <c:invertIfNegative val="0"/>
          <c:cat>
            <c:multiLvlStrRef>
              <c:f>'Fig5'!$A$2:$B$7</c:f>
              <c:multiLvlStrCache>
                <c:ptCount val="6"/>
                <c:lvl>
                  <c:pt idx="0">
                    <c:v>Graded reviews only</c:v>
                  </c:pt>
                  <c:pt idx="1">
                    <c:v>All reviews</c:v>
                  </c:pt>
                  <c:pt idx="2">
                    <c:v>Graded reviews only</c:v>
                  </c:pt>
                  <c:pt idx="3">
                    <c:v>All reviews</c:v>
                  </c:pt>
                  <c:pt idx="4">
                    <c:v>Graded reviews only</c:v>
                  </c:pt>
                  <c:pt idx="5">
                    <c:v>All reviews</c:v>
                  </c:pt>
                </c:lvl>
                <c:lvl>
                  <c:pt idx="0">
                    <c:v>DFID: 57 graded reviews
£25bn directly evaluated</c:v>
                  </c:pt>
                  <c:pt idx="2">
                    <c:v>FCO: 4 graded reviews
£1bn directly evaluated</c:v>
                  </c:pt>
                  <c:pt idx="4">
                    <c:v>BEIS: 0 graded reviews
£1bn directly evaluated</c:v>
                  </c:pt>
                </c:lvl>
              </c:multiLvlStrCache>
            </c:multiLvlStrRef>
          </c:cat>
          <c:val>
            <c:numRef>
              <c:f>'Fig5'!$G$2:$G$7</c:f>
              <c:numCache>
                <c:formatCode>0%</c:formatCode>
                <c:ptCount val="6"/>
                <c:pt idx="1">
                  <c:v>0.1652555901859917</c:v>
                </c:pt>
                <c:pt idx="3">
                  <c:v>0.79037722427556567</c:v>
                </c:pt>
                <c:pt idx="5">
                  <c:v>1</c:v>
                </c:pt>
              </c:numCache>
            </c:numRef>
          </c:val>
          <c:extLst>
            <c:ext xmlns:c16="http://schemas.microsoft.com/office/drawing/2014/chart" uri="{C3380CC4-5D6E-409C-BE32-E72D297353CC}">
              <c16:uniqueId val="{00000004-3A99-4752-9B4F-38A03A4836F1}"/>
            </c:ext>
          </c:extLst>
        </c:ser>
        <c:dLbls>
          <c:showLegendKey val="0"/>
          <c:showVal val="0"/>
          <c:showCatName val="0"/>
          <c:showSerName val="0"/>
          <c:showPercent val="0"/>
          <c:showBubbleSize val="0"/>
        </c:dLbls>
        <c:gapWidth val="150"/>
        <c:overlap val="100"/>
        <c:axId val="679526335"/>
        <c:axId val="865377759"/>
      </c:barChart>
      <c:catAx>
        <c:axId val="679526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377759"/>
        <c:crosses val="autoZero"/>
        <c:auto val="1"/>
        <c:lblAlgn val="ctr"/>
        <c:lblOffset val="100"/>
        <c:noMultiLvlLbl val="0"/>
      </c:catAx>
      <c:valAx>
        <c:axId val="865377759"/>
        <c:scaling>
          <c:orientation val="minMax"/>
          <c:max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9526335"/>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'Fig6'!$C$1</c:f>
              <c:strCache>
                <c:ptCount val="1"/>
                <c:pt idx="0">
                  <c:v>Green</c:v>
                </c:pt>
              </c:strCache>
            </c:strRef>
          </c:tx>
          <c:spPr>
            <a:solidFill>
              <a:srgbClr val="00B050"/>
            </a:solidFill>
            <a:ln>
              <a:noFill/>
            </a:ln>
            <a:effectLst/>
          </c:spPr>
          <c:invertIfNegative val="0"/>
          <c:cat>
            <c:multiLvlStrRef>
              <c:f>'Fig6'!$A$2:$B$9</c:f>
              <c:multiLvlStrCache>
                <c:ptCount val="8"/>
                <c:lvl>
                  <c:pt idx="0">
                    <c:v>Graded reviews only</c:v>
                  </c:pt>
                  <c:pt idx="1">
                    <c:v>All reviews</c:v>
                  </c:pt>
                  <c:pt idx="2">
                    <c:v>Graded reviews only</c:v>
                  </c:pt>
                  <c:pt idx="3">
                    <c:v>All reviews</c:v>
                  </c:pt>
                  <c:pt idx="4">
                    <c:v>Graded reviews only</c:v>
                  </c:pt>
                  <c:pt idx="5">
                    <c:v>All reviews</c:v>
                  </c:pt>
                  <c:pt idx="6">
                    <c:v>All reviews</c:v>
                  </c:pt>
                  <c:pt idx="7">
                    <c:v>Graded reviews only</c:v>
                  </c:pt>
                </c:lvl>
                <c:lvl>
                  <c:pt idx="0">
                    <c:v>DFID: 57 reviews
£56bn indirectly evaluated</c:v>
                  </c:pt>
                  <c:pt idx="2">
                    <c:v>FCO: 4 reviews
£2bn indirectly evaluated</c:v>
                  </c:pt>
                  <c:pt idx="4">
                    <c:v>BEIS: 0 reviews
£2bn indirectly evaluated</c:v>
                  </c:pt>
                  <c:pt idx="6">
                    <c:v>Home Office: 1 reviews
£0.02bn indirectly evaluated</c:v>
                  </c:pt>
                </c:lvl>
              </c:multiLvlStrCache>
            </c:multiLvlStrRef>
          </c:cat>
          <c:val>
            <c:numRef>
              <c:f>'Fig6'!$C$2:$C$9</c:f>
              <c:numCache>
                <c:formatCode>0%</c:formatCode>
                <c:ptCount val="8"/>
                <c:pt idx="0">
                  <c:v>8.4148621302975925E-3</c:v>
                </c:pt>
                <c:pt idx="1">
                  <c:v>7.6730110158199838E-3</c:v>
                </c:pt>
                <c:pt idx="2">
                  <c:v>0</c:v>
                </c:pt>
                <c:pt idx="3">
                  <c:v>0</c:v>
                </c:pt>
                <c:pt idx="4">
                  <c:v>0</c:v>
                </c:pt>
                <c:pt idx="5">
                  <c:v>0</c:v>
                </c:pt>
                <c:pt idx="6">
                  <c:v>0</c:v>
                </c:pt>
                <c:pt idx="7">
                  <c:v>0</c:v>
                </c:pt>
              </c:numCache>
            </c:numRef>
          </c:val>
          <c:extLst>
            <c:ext xmlns:c16="http://schemas.microsoft.com/office/drawing/2014/chart" uri="{C3380CC4-5D6E-409C-BE32-E72D297353CC}">
              <c16:uniqueId val="{00000000-B312-43CF-B958-3F464286DF91}"/>
            </c:ext>
          </c:extLst>
        </c:ser>
        <c:ser>
          <c:idx val="1"/>
          <c:order val="1"/>
          <c:tx>
            <c:strRef>
              <c:f>'Fig6'!$D$1</c:f>
              <c:strCache>
                <c:ptCount val="1"/>
                <c:pt idx="0">
                  <c:v>Green/Amber</c:v>
                </c:pt>
              </c:strCache>
            </c:strRef>
          </c:tx>
          <c:spPr>
            <a:solidFill>
              <a:srgbClr val="DDE200"/>
            </a:solidFill>
            <a:ln>
              <a:noFill/>
            </a:ln>
            <a:effectLst/>
          </c:spPr>
          <c:invertIfNegative val="0"/>
          <c:cat>
            <c:multiLvlStrRef>
              <c:f>'Fig6'!$A$2:$B$9</c:f>
              <c:multiLvlStrCache>
                <c:ptCount val="8"/>
                <c:lvl>
                  <c:pt idx="0">
                    <c:v>Graded reviews only</c:v>
                  </c:pt>
                  <c:pt idx="1">
                    <c:v>All reviews</c:v>
                  </c:pt>
                  <c:pt idx="2">
                    <c:v>Graded reviews only</c:v>
                  </c:pt>
                  <c:pt idx="3">
                    <c:v>All reviews</c:v>
                  </c:pt>
                  <c:pt idx="4">
                    <c:v>Graded reviews only</c:v>
                  </c:pt>
                  <c:pt idx="5">
                    <c:v>All reviews</c:v>
                  </c:pt>
                  <c:pt idx="6">
                    <c:v>All reviews</c:v>
                  </c:pt>
                  <c:pt idx="7">
                    <c:v>Graded reviews only</c:v>
                  </c:pt>
                </c:lvl>
                <c:lvl>
                  <c:pt idx="0">
                    <c:v>DFID: 57 reviews
£56bn indirectly evaluated</c:v>
                  </c:pt>
                  <c:pt idx="2">
                    <c:v>FCO: 4 reviews
£2bn indirectly evaluated</c:v>
                  </c:pt>
                  <c:pt idx="4">
                    <c:v>BEIS: 0 reviews
£2bn indirectly evaluated</c:v>
                  </c:pt>
                  <c:pt idx="6">
                    <c:v>Home Office: 1 reviews
£0.02bn indirectly evaluated</c:v>
                  </c:pt>
                </c:lvl>
              </c:multiLvlStrCache>
            </c:multiLvlStrRef>
          </c:cat>
          <c:val>
            <c:numRef>
              <c:f>'Fig6'!$D$2:$D$9</c:f>
              <c:numCache>
                <c:formatCode>0%</c:formatCode>
                <c:ptCount val="8"/>
                <c:pt idx="0">
                  <c:v>0.76881786119253892</c:v>
                </c:pt>
                <c:pt idx="1">
                  <c:v>0.70103916460493276</c:v>
                </c:pt>
                <c:pt idx="2">
                  <c:v>0.11313453221033462</c:v>
                </c:pt>
                <c:pt idx="3">
                  <c:v>5.0027681312597515E-2</c:v>
                </c:pt>
                <c:pt idx="4">
                  <c:v>0</c:v>
                </c:pt>
                <c:pt idx="5">
                  <c:v>0</c:v>
                </c:pt>
                <c:pt idx="6">
                  <c:v>0</c:v>
                </c:pt>
                <c:pt idx="7">
                  <c:v>0</c:v>
                </c:pt>
              </c:numCache>
            </c:numRef>
          </c:val>
          <c:extLst>
            <c:ext xmlns:c16="http://schemas.microsoft.com/office/drawing/2014/chart" uri="{C3380CC4-5D6E-409C-BE32-E72D297353CC}">
              <c16:uniqueId val="{00000001-B312-43CF-B958-3F464286DF91}"/>
            </c:ext>
          </c:extLst>
        </c:ser>
        <c:ser>
          <c:idx val="2"/>
          <c:order val="2"/>
          <c:tx>
            <c:strRef>
              <c:f>'Fig6'!$E$1</c:f>
              <c:strCache>
                <c:ptCount val="1"/>
                <c:pt idx="0">
                  <c:v>Amber/Red</c:v>
                </c:pt>
              </c:strCache>
            </c:strRef>
          </c:tx>
          <c:spPr>
            <a:solidFill>
              <a:srgbClr val="FE8002"/>
            </a:solidFill>
            <a:ln>
              <a:noFill/>
            </a:ln>
            <a:effectLst/>
          </c:spPr>
          <c:invertIfNegative val="0"/>
          <c:cat>
            <c:multiLvlStrRef>
              <c:f>'Fig6'!$A$2:$B$9</c:f>
              <c:multiLvlStrCache>
                <c:ptCount val="8"/>
                <c:lvl>
                  <c:pt idx="0">
                    <c:v>Graded reviews only</c:v>
                  </c:pt>
                  <c:pt idx="1">
                    <c:v>All reviews</c:v>
                  </c:pt>
                  <c:pt idx="2">
                    <c:v>Graded reviews only</c:v>
                  </c:pt>
                  <c:pt idx="3">
                    <c:v>All reviews</c:v>
                  </c:pt>
                  <c:pt idx="4">
                    <c:v>Graded reviews only</c:v>
                  </c:pt>
                  <c:pt idx="5">
                    <c:v>All reviews</c:v>
                  </c:pt>
                  <c:pt idx="6">
                    <c:v>All reviews</c:v>
                  </c:pt>
                  <c:pt idx="7">
                    <c:v>Graded reviews only</c:v>
                  </c:pt>
                </c:lvl>
                <c:lvl>
                  <c:pt idx="0">
                    <c:v>DFID: 57 reviews
£56bn indirectly evaluated</c:v>
                  </c:pt>
                  <c:pt idx="2">
                    <c:v>FCO: 4 reviews
£2bn indirectly evaluated</c:v>
                  </c:pt>
                  <c:pt idx="4">
                    <c:v>BEIS: 0 reviews
£2bn indirectly evaluated</c:v>
                  </c:pt>
                  <c:pt idx="6">
                    <c:v>Home Office: 1 reviews
£0.02bn indirectly evaluated</c:v>
                  </c:pt>
                </c:lvl>
              </c:multiLvlStrCache>
            </c:multiLvlStrRef>
          </c:cat>
          <c:val>
            <c:numRef>
              <c:f>'Fig6'!$E$2:$E$9</c:f>
              <c:numCache>
                <c:formatCode>0%</c:formatCode>
                <c:ptCount val="8"/>
                <c:pt idx="0">
                  <c:v>0.22062887589147817</c:v>
                </c:pt>
                <c:pt idx="1">
                  <c:v>0.20117831628257737</c:v>
                </c:pt>
                <c:pt idx="2">
                  <c:v>0.88686546778966535</c:v>
                </c:pt>
                <c:pt idx="3">
                  <c:v>0.39216870501786705</c:v>
                </c:pt>
                <c:pt idx="4">
                  <c:v>0</c:v>
                </c:pt>
                <c:pt idx="5">
                  <c:v>0</c:v>
                </c:pt>
                <c:pt idx="6">
                  <c:v>1</c:v>
                </c:pt>
                <c:pt idx="7">
                  <c:v>1</c:v>
                </c:pt>
              </c:numCache>
            </c:numRef>
          </c:val>
          <c:extLst>
            <c:ext xmlns:c16="http://schemas.microsoft.com/office/drawing/2014/chart" uri="{C3380CC4-5D6E-409C-BE32-E72D297353CC}">
              <c16:uniqueId val="{00000002-B312-43CF-B958-3F464286DF91}"/>
            </c:ext>
          </c:extLst>
        </c:ser>
        <c:ser>
          <c:idx val="3"/>
          <c:order val="3"/>
          <c:tx>
            <c:strRef>
              <c:f>'Fig6'!$F$1</c:f>
              <c:strCache>
                <c:ptCount val="1"/>
                <c:pt idx="0">
                  <c:v>Red</c:v>
                </c:pt>
              </c:strCache>
            </c:strRef>
          </c:tx>
          <c:spPr>
            <a:solidFill>
              <a:srgbClr val="C00000"/>
            </a:solidFill>
            <a:ln>
              <a:noFill/>
            </a:ln>
            <a:effectLst/>
          </c:spPr>
          <c:invertIfNegative val="0"/>
          <c:cat>
            <c:multiLvlStrRef>
              <c:f>'Fig6'!$A$2:$B$9</c:f>
              <c:multiLvlStrCache>
                <c:ptCount val="8"/>
                <c:lvl>
                  <c:pt idx="0">
                    <c:v>Graded reviews only</c:v>
                  </c:pt>
                  <c:pt idx="1">
                    <c:v>All reviews</c:v>
                  </c:pt>
                  <c:pt idx="2">
                    <c:v>Graded reviews only</c:v>
                  </c:pt>
                  <c:pt idx="3">
                    <c:v>All reviews</c:v>
                  </c:pt>
                  <c:pt idx="4">
                    <c:v>Graded reviews only</c:v>
                  </c:pt>
                  <c:pt idx="5">
                    <c:v>All reviews</c:v>
                  </c:pt>
                  <c:pt idx="6">
                    <c:v>All reviews</c:v>
                  </c:pt>
                  <c:pt idx="7">
                    <c:v>Graded reviews only</c:v>
                  </c:pt>
                </c:lvl>
                <c:lvl>
                  <c:pt idx="0">
                    <c:v>DFID: 57 reviews
£56bn indirectly evaluated</c:v>
                  </c:pt>
                  <c:pt idx="2">
                    <c:v>FCO: 4 reviews
£2bn indirectly evaluated</c:v>
                  </c:pt>
                  <c:pt idx="4">
                    <c:v>BEIS: 0 reviews
£2bn indirectly evaluated</c:v>
                  </c:pt>
                  <c:pt idx="6">
                    <c:v>Home Office: 1 reviews
£0.02bn indirectly evaluated</c:v>
                  </c:pt>
                </c:lvl>
              </c:multiLvlStrCache>
            </c:multiLvlStrRef>
          </c:cat>
          <c:val>
            <c:numRef>
              <c:f>'Fig6'!$F$2:$F$9</c:f>
              <c:numCache>
                <c:formatCode>0%</c:formatCode>
                <c:ptCount val="8"/>
                <c:pt idx="0">
                  <c:v>2.138400785685331E-3</c:v>
                </c:pt>
                <c:pt idx="1">
                  <c:v>1.9498801680570589E-3</c:v>
                </c:pt>
                <c:pt idx="2">
                  <c:v>0</c:v>
                </c:pt>
                <c:pt idx="3">
                  <c:v>0</c:v>
                </c:pt>
                <c:pt idx="4">
                  <c:v>0</c:v>
                </c:pt>
                <c:pt idx="5">
                  <c:v>0</c:v>
                </c:pt>
                <c:pt idx="6">
                  <c:v>0</c:v>
                </c:pt>
                <c:pt idx="7">
                  <c:v>0</c:v>
                </c:pt>
              </c:numCache>
            </c:numRef>
          </c:val>
          <c:extLst>
            <c:ext xmlns:c16="http://schemas.microsoft.com/office/drawing/2014/chart" uri="{C3380CC4-5D6E-409C-BE32-E72D297353CC}">
              <c16:uniqueId val="{00000003-B312-43CF-B958-3F464286DF91}"/>
            </c:ext>
          </c:extLst>
        </c:ser>
        <c:ser>
          <c:idx val="4"/>
          <c:order val="4"/>
          <c:tx>
            <c:strRef>
              <c:f>'Fig6'!$G$1</c:f>
              <c:strCache>
                <c:ptCount val="1"/>
                <c:pt idx="0">
                  <c:v>Not graded</c:v>
                </c:pt>
              </c:strCache>
            </c:strRef>
          </c:tx>
          <c:spPr>
            <a:solidFill>
              <a:schemeClr val="bg2">
                <a:lumMod val="90000"/>
              </a:schemeClr>
            </a:solidFill>
            <a:ln>
              <a:noFill/>
            </a:ln>
            <a:effectLst/>
          </c:spPr>
          <c:invertIfNegative val="0"/>
          <c:cat>
            <c:multiLvlStrRef>
              <c:f>'Fig6'!$A$2:$B$9</c:f>
              <c:multiLvlStrCache>
                <c:ptCount val="8"/>
                <c:lvl>
                  <c:pt idx="0">
                    <c:v>Graded reviews only</c:v>
                  </c:pt>
                  <c:pt idx="1">
                    <c:v>All reviews</c:v>
                  </c:pt>
                  <c:pt idx="2">
                    <c:v>Graded reviews only</c:v>
                  </c:pt>
                  <c:pt idx="3">
                    <c:v>All reviews</c:v>
                  </c:pt>
                  <c:pt idx="4">
                    <c:v>Graded reviews only</c:v>
                  </c:pt>
                  <c:pt idx="5">
                    <c:v>All reviews</c:v>
                  </c:pt>
                  <c:pt idx="6">
                    <c:v>All reviews</c:v>
                  </c:pt>
                  <c:pt idx="7">
                    <c:v>Graded reviews only</c:v>
                  </c:pt>
                </c:lvl>
                <c:lvl>
                  <c:pt idx="0">
                    <c:v>DFID: 57 reviews
£56bn indirectly evaluated</c:v>
                  </c:pt>
                  <c:pt idx="2">
                    <c:v>FCO: 4 reviews
£2bn indirectly evaluated</c:v>
                  </c:pt>
                  <c:pt idx="4">
                    <c:v>BEIS: 0 reviews
£2bn indirectly evaluated</c:v>
                  </c:pt>
                  <c:pt idx="6">
                    <c:v>Home Office: 1 reviews
£0.02bn indirectly evaluated</c:v>
                  </c:pt>
                </c:lvl>
              </c:multiLvlStrCache>
            </c:multiLvlStrRef>
          </c:cat>
          <c:val>
            <c:numRef>
              <c:f>'Fig6'!$G$2:$G$9</c:f>
              <c:numCache>
                <c:formatCode>0%</c:formatCode>
                <c:ptCount val="8"/>
                <c:pt idx="1">
                  <c:v>8.8159627928612844E-2</c:v>
                </c:pt>
                <c:pt idx="3">
                  <c:v>0.55780361366953546</c:v>
                </c:pt>
                <c:pt idx="5">
                  <c:v>1</c:v>
                </c:pt>
                <c:pt idx="7">
                  <c:v>0</c:v>
                </c:pt>
              </c:numCache>
            </c:numRef>
          </c:val>
          <c:extLst>
            <c:ext xmlns:c16="http://schemas.microsoft.com/office/drawing/2014/chart" uri="{C3380CC4-5D6E-409C-BE32-E72D297353CC}">
              <c16:uniqueId val="{00000004-B312-43CF-B958-3F464286DF91}"/>
            </c:ext>
          </c:extLst>
        </c:ser>
        <c:dLbls>
          <c:showLegendKey val="0"/>
          <c:showVal val="0"/>
          <c:showCatName val="0"/>
          <c:showSerName val="0"/>
          <c:showPercent val="0"/>
          <c:showBubbleSize val="0"/>
        </c:dLbls>
        <c:gapWidth val="150"/>
        <c:overlap val="100"/>
        <c:axId val="1324272207"/>
        <c:axId val="1244533967"/>
      </c:barChart>
      <c:catAx>
        <c:axId val="1324272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4533967"/>
        <c:crosses val="autoZero"/>
        <c:auto val="1"/>
        <c:lblAlgn val="ctr"/>
        <c:lblOffset val="100"/>
        <c:noMultiLvlLbl val="0"/>
      </c:catAx>
      <c:valAx>
        <c:axId val="124453396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4272207"/>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pPr>
            <a:r>
              <a:rPr lang="en-GB"/>
              <a:t>Indicators for sound project management (UK aid projects in Somalia)</a:t>
            </a:r>
          </a:p>
        </c:rich>
      </c:tx>
      <c:overlay val="0"/>
    </c:title>
    <c:autoTitleDeleted val="0"/>
    <c:plotArea>
      <c:layout>
        <c:manualLayout>
          <c:xMode val="edge"/>
          <c:yMode val="edge"/>
          <c:x val="8.9189501024461909E-2"/>
          <c:y val="0.20732255166217425"/>
          <c:w val="0.78233906893004113"/>
          <c:h val="0.64847259658580414"/>
        </c:manualLayout>
      </c:layout>
      <c:barChart>
        <c:barDir val="col"/>
        <c:grouping val="stacked"/>
        <c:varyColors val="1"/>
        <c:ser>
          <c:idx val="0"/>
          <c:order val="0"/>
          <c:tx>
            <c:strRef>
              <c:f>'CSSF somalia'!$B$1</c:f>
              <c:strCache>
                <c:ptCount val="1"/>
                <c:pt idx="0">
                  <c:v>Yes</c:v>
                </c:pt>
              </c:strCache>
            </c:strRef>
          </c:tx>
          <c:spPr>
            <a:solidFill>
              <a:srgbClr val="64C093"/>
            </a:solidFill>
          </c:spPr>
          <c:invertIfNegative val="1"/>
          <c:cat>
            <c:strRef>
              <c:f>'CSSF somalia'!$A$2:$A$4</c:f>
              <c:strCache>
                <c:ptCount val="3"/>
                <c:pt idx="0">
                  <c:v>DFID (12)</c:v>
                </c:pt>
                <c:pt idx="1">
                  <c:v>Conflict pool (9)</c:v>
                </c:pt>
                <c:pt idx="2">
                  <c:v>CSSF (4) </c:v>
                </c:pt>
              </c:strCache>
            </c:strRef>
          </c:cat>
          <c:val>
            <c:numRef>
              <c:f>'CSSF somalia'!$B$2:$B$4</c:f>
              <c:numCache>
                <c:formatCode>General</c:formatCode>
                <c:ptCount val="3"/>
                <c:pt idx="0">
                  <c:v>35</c:v>
                </c:pt>
                <c:pt idx="1">
                  <c:v>10</c:v>
                </c:pt>
                <c:pt idx="2">
                  <c:v>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A779-4FF3-9B17-C8D45644A7EC}"/>
            </c:ext>
          </c:extLst>
        </c:ser>
        <c:ser>
          <c:idx val="1"/>
          <c:order val="1"/>
          <c:tx>
            <c:strRef>
              <c:f>'CSSF somalia'!$C$1</c:f>
              <c:strCache>
                <c:ptCount val="1"/>
                <c:pt idx="0">
                  <c:v>No</c:v>
                </c:pt>
              </c:strCache>
            </c:strRef>
          </c:tx>
          <c:spPr>
            <a:solidFill>
              <a:srgbClr val="CC0000"/>
            </a:solidFill>
          </c:spPr>
          <c:invertIfNegative val="1"/>
          <c:cat>
            <c:strRef>
              <c:f>'CSSF somalia'!$A$2:$A$4</c:f>
              <c:strCache>
                <c:ptCount val="3"/>
                <c:pt idx="0">
                  <c:v>DFID (12)</c:v>
                </c:pt>
                <c:pt idx="1">
                  <c:v>Conflict pool (9)</c:v>
                </c:pt>
                <c:pt idx="2">
                  <c:v>CSSF (4) </c:v>
                </c:pt>
              </c:strCache>
            </c:strRef>
          </c:cat>
          <c:val>
            <c:numRef>
              <c:f>'CSSF somalia'!$C$2:$C$4</c:f>
              <c:numCache>
                <c:formatCode>General</c:formatCode>
                <c:ptCount val="3"/>
                <c:pt idx="0">
                  <c:v>13</c:v>
                </c:pt>
                <c:pt idx="1">
                  <c:v>26</c:v>
                </c:pt>
                <c:pt idx="2">
                  <c:v>11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A779-4FF3-9B17-C8D45644A7EC}"/>
            </c:ext>
          </c:extLst>
        </c:ser>
        <c:dLbls>
          <c:showLegendKey val="0"/>
          <c:showVal val="0"/>
          <c:showCatName val="0"/>
          <c:showSerName val="0"/>
          <c:showPercent val="0"/>
          <c:showBubbleSize val="0"/>
        </c:dLbls>
        <c:gapWidth val="150"/>
        <c:overlap val="100"/>
        <c:axId val="1953744767"/>
        <c:axId val="143926890"/>
      </c:barChart>
      <c:catAx>
        <c:axId val="1953744767"/>
        <c:scaling>
          <c:orientation val="minMax"/>
        </c:scaling>
        <c:delete val="0"/>
        <c:axPos val="b"/>
        <c:title>
          <c:tx>
            <c:rich>
              <a:bodyPr/>
              <a:lstStyle/>
              <a:p>
                <a:pPr lvl="0">
                  <a:defRPr sz="1200" b="0"/>
                </a:pPr>
                <a:r>
                  <a:rPr lang="en-GB"/>
                  <a:t>Source: ICAI (2017) UK aid in a conflict-affected country: Reducing conflict and fragility in Somalia</a:t>
                </a:r>
              </a:p>
            </c:rich>
          </c:tx>
          <c:overlay val="0"/>
        </c:title>
        <c:numFmt formatCode="General" sourceLinked="1"/>
        <c:majorTickMark val="cross"/>
        <c:minorTickMark val="cross"/>
        <c:tickLblPos val="nextTo"/>
        <c:txPr>
          <a:bodyPr/>
          <a:lstStyle/>
          <a:p>
            <a:pPr lvl="0">
              <a:defRPr b="0"/>
            </a:pPr>
            <a:endParaRPr lang="en-US"/>
          </a:p>
        </c:txPr>
        <c:crossAx val="143926890"/>
        <c:crosses val="autoZero"/>
        <c:auto val="1"/>
        <c:lblAlgn val="ctr"/>
        <c:lblOffset val="100"/>
        <c:noMultiLvlLbl val="1"/>
      </c:catAx>
      <c:valAx>
        <c:axId val="143926890"/>
        <c:scaling>
          <c:orientation val="minMax"/>
          <c:max val="50"/>
        </c:scaling>
        <c:delete val="0"/>
        <c:axPos val="l"/>
        <c:majorGridlines>
          <c:spPr>
            <a:ln>
              <a:solidFill>
                <a:srgbClr val="FFFFFF"/>
              </a:solidFill>
            </a:ln>
          </c:spPr>
        </c:majorGridlines>
        <c:numFmt formatCode="General" sourceLinked="1"/>
        <c:majorTickMark val="cross"/>
        <c:minorTickMark val="cross"/>
        <c:tickLblPos val="nextTo"/>
        <c:spPr>
          <a:ln w="47625">
            <a:noFill/>
          </a:ln>
        </c:spPr>
        <c:txPr>
          <a:bodyPr/>
          <a:lstStyle/>
          <a:p>
            <a:pPr lvl="0">
              <a:defRPr b="0"/>
            </a:pPr>
            <a:endParaRPr lang="en-US"/>
          </a:p>
        </c:txPr>
        <c:crossAx val="1953744767"/>
        <c:crosses val="autoZero"/>
        <c:crossBetween val="between"/>
        <c:majorUnit val="10"/>
      </c:valAx>
    </c:plotArea>
    <c:legend>
      <c:legendPos val="r"/>
      <c:overlay val="0"/>
    </c:legend>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44450</xdr:colOff>
      <xdr:row>10</xdr:row>
      <xdr:rowOff>31750</xdr:rowOff>
    </xdr:from>
    <xdr:to>
      <xdr:col>10</xdr:col>
      <xdr:colOff>349250</xdr:colOff>
      <xdr:row>27</xdr:row>
      <xdr:rowOff>82550</xdr:rowOff>
    </xdr:to>
    <xdr:graphicFrame macro="">
      <xdr:nvGraphicFramePr>
        <xdr:cNvPr id="3" name="Chart 2">
          <a:extLst>
            <a:ext uri="{FF2B5EF4-FFF2-40B4-BE49-F238E27FC236}">
              <a16:creationId xmlns:a16="http://schemas.microsoft.com/office/drawing/2014/main" id="{7D0C69E6-F75A-4554-9468-3FE4F642CB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10</xdr:row>
      <xdr:rowOff>127000</xdr:rowOff>
    </xdr:from>
    <xdr:to>
      <xdr:col>13</xdr:col>
      <xdr:colOff>63502</xdr:colOff>
      <xdr:row>34</xdr:row>
      <xdr:rowOff>0</xdr:rowOff>
    </xdr:to>
    <xdr:grpSp>
      <xdr:nvGrpSpPr>
        <xdr:cNvPr id="3" name="Group 2">
          <a:extLst>
            <a:ext uri="{FF2B5EF4-FFF2-40B4-BE49-F238E27FC236}">
              <a16:creationId xmlns:a16="http://schemas.microsoft.com/office/drawing/2014/main" id="{4A3F814B-CF72-43CD-B6E9-D75101CCD233}"/>
            </a:ext>
          </a:extLst>
        </xdr:cNvPr>
        <xdr:cNvGrpSpPr/>
      </xdr:nvGrpSpPr>
      <xdr:grpSpPr>
        <a:xfrm>
          <a:off x="158750" y="1949450"/>
          <a:ext cx="6299202" cy="3683000"/>
          <a:chOff x="158750" y="3378200"/>
          <a:chExt cx="6238399" cy="3683000"/>
        </a:xfrm>
      </xdr:grpSpPr>
      <xdr:graphicFrame macro="">
        <xdr:nvGraphicFramePr>
          <xdr:cNvPr id="6" name="Chart 5">
            <a:extLst>
              <a:ext uri="{FF2B5EF4-FFF2-40B4-BE49-F238E27FC236}">
                <a16:creationId xmlns:a16="http://schemas.microsoft.com/office/drawing/2014/main" id="{DF7871ED-7A7A-4C1A-98EE-4290C9A4BA8F}"/>
              </a:ext>
            </a:extLst>
          </xdr:cNvPr>
          <xdr:cNvGraphicFramePr/>
        </xdr:nvGraphicFramePr>
        <xdr:xfrm>
          <a:off x="2431409" y="3378200"/>
          <a:ext cx="3965740" cy="3676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Chart 6">
            <a:extLst>
              <a:ext uri="{FF2B5EF4-FFF2-40B4-BE49-F238E27FC236}">
                <a16:creationId xmlns:a16="http://schemas.microsoft.com/office/drawing/2014/main" id="{935BD9D0-CE7A-4801-8F94-1FAC94311190}"/>
              </a:ext>
            </a:extLst>
          </xdr:cNvPr>
          <xdr:cNvGraphicFramePr/>
        </xdr:nvGraphicFramePr>
        <xdr:xfrm>
          <a:off x="158750" y="3378200"/>
          <a:ext cx="2119294" cy="3683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249028</xdr:colOff>
      <xdr:row>0</xdr:row>
      <xdr:rowOff>0</xdr:rowOff>
    </xdr:from>
    <xdr:to>
      <xdr:col>15</xdr:col>
      <xdr:colOff>220454</xdr:colOff>
      <xdr:row>18</xdr:row>
      <xdr:rowOff>19878</xdr:rowOff>
    </xdr:to>
    <xdr:graphicFrame macro="">
      <xdr:nvGraphicFramePr>
        <xdr:cNvPr id="3" name="Chart 2">
          <a:extLst>
            <a:ext uri="{FF2B5EF4-FFF2-40B4-BE49-F238E27FC236}">
              <a16:creationId xmlns:a16="http://schemas.microsoft.com/office/drawing/2014/main" id="{9D8CDC2D-5A0B-46B1-8A23-65E6DD2A68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501650</xdr:colOff>
      <xdr:row>1</xdr:row>
      <xdr:rowOff>50800</xdr:rowOff>
    </xdr:from>
    <xdr:to>
      <xdr:col>16</xdr:col>
      <xdr:colOff>234950</xdr:colOff>
      <xdr:row>18</xdr:row>
      <xdr:rowOff>133350</xdr:rowOff>
    </xdr:to>
    <xdr:graphicFrame macro="">
      <xdr:nvGraphicFramePr>
        <xdr:cNvPr id="2" name="Chart 1">
          <a:extLst>
            <a:ext uri="{FF2B5EF4-FFF2-40B4-BE49-F238E27FC236}">
              <a16:creationId xmlns:a16="http://schemas.microsoft.com/office/drawing/2014/main" id="{6677FFC0-02F0-4EF0-892B-F3345F225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266700</xdr:colOff>
      <xdr:row>0</xdr:row>
      <xdr:rowOff>0</xdr:rowOff>
    </xdr:from>
    <xdr:to>
      <xdr:col>17</xdr:col>
      <xdr:colOff>349250</xdr:colOff>
      <xdr:row>17</xdr:row>
      <xdr:rowOff>44450</xdr:rowOff>
    </xdr:to>
    <xdr:graphicFrame macro="">
      <xdr:nvGraphicFramePr>
        <xdr:cNvPr id="2" name="Chart 1">
          <a:extLst>
            <a:ext uri="{FF2B5EF4-FFF2-40B4-BE49-F238E27FC236}">
              <a16:creationId xmlns:a16="http://schemas.microsoft.com/office/drawing/2014/main" id="{A51FEFBE-0DDA-4882-AC17-AE69E45B4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5</xdr:col>
      <xdr:colOff>806450</xdr:colOff>
      <xdr:row>2</xdr:row>
      <xdr:rowOff>31750</xdr:rowOff>
    </xdr:from>
    <xdr:ext cx="4711700" cy="2781301"/>
    <xdr:graphicFrame macro="">
      <xdr:nvGraphicFramePr>
        <xdr:cNvPr id="10" name="Chart 10" title="Chart">
          <a:extLst>
            <a:ext uri="{FF2B5EF4-FFF2-40B4-BE49-F238E27FC236}">
              <a16:creationId xmlns:a16="http://schemas.microsoft.com/office/drawing/2014/main" id="{00000000-0008-0000-0E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FBCED7-8135-42DA-B01F-57D08E3D2065}" name="Table69" displayName="Table69" ref="A1:F66" totalsRowShown="0" headerRowDxfId="33" dataDxfId="32">
  <autoFilter ref="A1:F66" xr:uid="{C524E7FA-5E2D-4B27-BDB4-0DE1016036ED}"/>
  <sortState xmlns:xlrd2="http://schemas.microsoft.com/office/spreadsheetml/2017/richdata2" ref="A2:F65">
    <sortCondition ref="B1:B75"/>
  </sortState>
  <tableColumns count="6">
    <tableColumn id="1" xr3:uid="{B29F0D08-3F89-4F41-8788-CC9044B916D2}" name="Title" dataDxfId="31"/>
    <tableColumn id="2" xr3:uid="{4A7EA97F-96A7-495A-9B4A-66994D9FCB9E}" name="Review Year" dataDxfId="30"/>
    <tableColumn id="3" xr3:uid="{EF2AE66A-5D73-4CFE-B3AF-883A5F2ECBC6}" name="Overall Score" dataDxfId="29"/>
    <tableColumn id="4" xr3:uid="{8F13D1ED-509A-43A9-8CB8-A69D5348888B}" name="Lead department" dataDxfId="28"/>
    <tableColumn id="5" xr3:uid="{64575D4A-82A6-4B6B-93DF-B8EC158C7193}" name="Spending directly evaluated" dataDxfId="27" dataCellStyle="Comma">
      <calculatedColumnFormula>SUMIF('Reviews (by dept)'!A:A,Table69[[#This Row],[Title]],'Reviews (by dept)'!I:I)</calculatedColumnFormula>
    </tableColumn>
    <tableColumn id="6" xr3:uid="{8BD13338-DFB4-4D19-9CA4-0C46B89B94A7}" name="Spending indirectly evaluated" dataDxfId="26" dataCellStyle="Comma">
      <calculatedColumnFormula>SUMIF('Reviews (by dept)'!A:A,Table69[[#This Row],[Title]],'Reviews (by dept)'!G:G)</calculatedColumnFormula>
    </tableColumn>
  </tableColumns>
  <tableStyleInfo name="All reviews (2012-2016)-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6372CE1-B41A-4D1E-9D9C-B212BCD4693A}" name="Table6" displayName="Table6" ref="A1:J80" totalsRowCount="1" headerRowDxfId="21" dataDxfId="20">
  <autoFilter ref="A1:J79" xr:uid="{0F1FEEF1-16D4-4902-8C00-590EC9A1A627}"/>
  <sortState xmlns:xlrd2="http://schemas.microsoft.com/office/spreadsheetml/2017/richdata2" ref="A2:J79">
    <sortCondition descending="1" ref="C1:C79"/>
  </sortState>
  <tableColumns count="10">
    <tableColumn id="1" xr3:uid="{A4584F7F-47BA-405E-B05A-64FD90E416FD}" name="Title" dataDxfId="19" totalsRowDxfId="18"/>
    <tableColumn id="22" xr3:uid="{6DC229E2-C714-445F-BEA1-08C0A6F87673}" name="Review type" dataDxfId="17" totalsRowDxfId="16"/>
    <tableColumn id="2" xr3:uid="{F4900005-8314-4762-8F3C-977599FEB4EF}" name="Review Year" dataDxfId="15" totalsRowDxfId="14"/>
    <tableColumn id="3" xr3:uid="{5CB24F2F-EAF4-4B94-9151-D2E33D661090}" name="Overall Score" dataDxfId="13" totalsRowDxfId="12"/>
    <tableColumn id="4" xr3:uid="{BC23A180-EBDB-408F-ABA2-881DFE1366FB}" name="Lead Department" dataDxfId="11" totalsRowDxfId="10"/>
    <tableColumn id="5" xr3:uid="{885328DF-260F-4926-A150-0AD2C7EACADA}" name="Department" dataDxfId="9" totalsRowDxfId="8"/>
    <tableColumn id="7" xr3:uid="{12FF6784-1D71-4B29-91E2-1965907B1184}" name="Spending indirectly evaluated (£m)" dataDxfId="7" totalsRowDxfId="6"/>
    <tableColumn id="21" xr3:uid="{C1FD8FFC-16EC-4655-8F42-1937B5F4D1C1}" name="Indirectly evaluated exp" dataDxfId="5" totalsRowDxfId="4"/>
    <tableColumn id="8" xr3:uid="{13582366-CED4-4214-B6CD-48ABB03C4387}" name="Spending directly evaluated (£m)" dataDxfId="3" totalsRowDxfId="2"/>
    <tableColumn id="6" xr3:uid="{4C48EBEB-587B-4236-9576-89A68CE3C38A}" name="Directly evaluated exp" dataDxfId="1" totalsRowDxfId="0"/>
  </tableColumns>
  <tableStyleInfo name="Reviews by title-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hyperlink" Target="https://www.gov.uk/government/uploads/system/uploads/attachment_data/file/659208/annexes-1-4.pdf" TargetMode="External"/><Relationship Id="rId1" Type="http://schemas.openxmlformats.org/officeDocument/2006/relationships/hyperlink" Target="https://www.gov.uk/government/statistics/statistics-on-international-development-provisional-uk-aid-spend-2017"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www.gov.uk/government/uploads/system/uploads/attachment_data/file/659208/annexes-1-4.pdf" TargetMode="External"/><Relationship Id="rId1" Type="http://schemas.openxmlformats.org/officeDocument/2006/relationships/hyperlink" Target="https://www.gov.uk/government/uploads/system/uploads/attachment_data/file/659208/annexes-1-4.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659208/annexes-1-4.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O1005"/>
  <sheetViews>
    <sheetView tabSelected="1" workbookViewId="0">
      <selection activeCell="A2" sqref="A2"/>
    </sheetView>
  </sheetViews>
  <sheetFormatPr defaultColWidth="14.42578125" defaultRowHeight="15.75" customHeight="1" x14ac:dyDescent="0.2"/>
  <cols>
    <col min="1" max="1" width="35.7109375" style="85" customWidth="1"/>
    <col min="2" max="3" width="14.42578125" style="85"/>
    <col min="4" max="4" width="15.85546875" style="85" customWidth="1"/>
    <col min="5" max="5" width="15.85546875" style="459" customWidth="1"/>
    <col min="6" max="7" width="14.42578125" style="85"/>
    <col min="8" max="8" width="12.140625" style="85" customWidth="1"/>
    <col min="9" max="9" width="11.85546875" style="85" customWidth="1"/>
    <col min="10" max="10" width="11.85546875" style="85" bestFit="1" customWidth="1"/>
    <col min="11" max="15" width="14.42578125" style="85"/>
  </cols>
  <sheetData>
    <row r="1" spans="1:15" ht="15.75" customHeight="1" x14ac:dyDescent="0.2">
      <c r="A1" s="89" t="s">
        <v>5</v>
      </c>
      <c r="B1" s="89" t="s">
        <v>0</v>
      </c>
      <c r="C1" s="89" t="s">
        <v>4</v>
      </c>
      <c r="D1" s="89" t="s">
        <v>6</v>
      </c>
      <c r="E1" s="89" t="s">
        <v>457</v>
      </c>
      <c r="F1" s="89" t="s">
        <v>459</v>
      </c>
      <c r="G1"/>
      <c r="H1"/>
      <c r="I1"/>
      <c r="J1"/>
      <c r="K1"/>
      <c r="L1"/>
      <c r="M1"/>
      <c r="N1"/>
      <c r="O1"/>
    </row>
    <row r="2" spans="1:15" ht="15.75" customHeight="1" x14ac:dyDescent="0.2">
      <c r="A2" s="90" t="s">
        <v>18</v>
      </c>
      <c r="B2" s="90">
        <v>2011</v>
      </c>
      <c r="C2" s="90" t="s">
        <v>16</v>
      </c>
      <c r="D2" s="90" t="s">
        <v>12</v>
      </c>
      <c r="E2" s="461">
        <f>SUMIF('Reviews (by dept)'!A:A,Table69[[#This Row],[Title]],'Reviews (by dept)'!I:I)</f>
        <v>7</v>
      </c>
      <c r="F2" s="461">
        <f>SUMIF('Reviews (by dept)'!A:A,Table69[[#This Row],[Title]],'Reviews (by dept)'!G:G)</f>
        <v>7</v>
      </c>
      <c r="G2"/>
      <c r="H2"/>
      <c r="I2"/>
      <c r="J2"/>
      <c r="K2"/>
      <c r="L2"/>
      <c r="M2"/>
      <c r="N2"/>
      <c r="O2"/>
    </row>
    <row r="3" spans="1:15" ht="15.75" customHeight="1" x14ac:dyDescent="0.2">
      <c r="A3" s="90" t="s">
        <v>17</v>
      </c>
      <c r="B3" s="90">
        <v>2011</v>
      </c>
      <c r="C3" s="90" t="s">
        <v>7</v>
      </c>
      <c r="D3" s="90" t="s">
        <v>12</v>
      </c>
      <c r="E3" s="461">
        <f>SUMIF('Reviews (by dept)'!A:A,Table69[[#This Row],[Title]],'Reviews (by dept)'!I:I)</f>
        <v>75</v>
      </c>
      <c r="F3" s="461">
        <f>SUMIF('Reviews (by dept)'!A:A,Table69[[#This Row],[Title]],'Reviews (by dept)'!G:G)</f>
        <v>75</v>
      </c>
      <c r="G3"/>
      <c r="H3"/>
      <c r="I3"/>
      <c r="J3"/>
      <c r="K3"/>
      <c r="L3"/>
      <c r="M3"/>
      <c r="N3"/>
      <c r="O3"/>
    </row>
    <row r="4" spans="1:15" ht="15.75" customHeight="1" x14ac:dyDescent="0.2">
      <c r="A4" s="90" t="s">
        <v>8</v>
      </c>
      <c r="B4" s="90">
        <v>2011</v>
      </c>
      <c r="C4" s="90" t="s">
        <v>7</v>
      </c>
      <c r="D4" s="90" t="s">
        <v>12</v>
      </c>
      <c r="E4" s="461">
        <f>SUMIF('Reviews (by dept)'!A:A,Table69[[#This Row],[Title]],'Reviews (by dept)'!I:I)</f>
        <v>103.3</v>
      </c>
      <c r="F4" s="461">
        <f>SUMIF('Reviews (by dept)'!A:A,Table69[[#This Row],[Title]],'Reviews (by dept)'!G:G)</f>
        <v>103.3</v>
      </c>
      <c r="G4"/>
      <c r="H4"/>
      <c r="I4"/>
      <c r="J4"/>
      <c r="K4"/>
      <c r="L4"/>
      <c r="M4"/>
      <c r="N4"/>
      <c r="O4"/>
    </row>
    <row r="5" spans="1:15" ht="15.75" customHeight="1" x14ac:dyDescent="0.2">
      <c r="A5" s="90" t="s">
        <v>40</v>
      </c>
      <c r="B5" s="90">
        <v>2012</v>
      </c>
      <c r="C5" s="90" t="s">
        <v>16</v>
      </c>
      <c r="D5" s="90" t="s">
        <v>12</v>
      </c>
      <c r="E5" s="461">
        <f>SUMIF('Reviews (by dept)'!A:A,Table69[[#This Row],[Title]],'Reviews (by dept)'!I:I)</f>
        <v>202</v>
      </c>
      <c r="F5" s="461">
        <f>SUMIF('Reviews (by dept)'!A:A,Table69[[#This Row],[Title]],'Reviews (by dept)'!G:G)</f>
        <v>178</v>
      </c>
      <c r="G5"/>
      <c r="H5"/>
      <c r="I5"/>
      <c r="J5"/>
      <c r="K5"/>
      <c r="L5"/>
      <c r="M5"/>
      <c r="N5"/>
      <c r="O5"/>
    </row>
    <row r="6" spans="1:15" ht="15.75" customHeight="1" x14ac:dyDescent="0.2">
      <c r="A6" s="90" t="s">
        <v>28</v>
      </c>
      <c r="B6" s="90">
        <v>2012</v>
      </c>
      <c r="C6" s="90" t="s">
        <v>7</v>
      </c>
      <c r="D6" s="90" t="s">
        <v>12</v>
      </c>
      <c r="E6" s="461">
        <f>SUMIF('Reviews (by dept)'!A:A,Table69[[#This Row],[Title]],'Reviews (by dept)'!I:I)</f>
        <v>250</v>
      </c>
      <c r="F6" s="461">
        <f>SUMIF('Reviews (by dept)'!A:A,Table69[[#This Row],[Title]],'Reviews (by dept)'!G:G)</f>
        <v>267</v>
      </c>
      <c r="G6"/>
      <c r="H6"/>
      <c r="I6"/>
      <c r="J6"/>
      <c r="K6"/>
      <c r="L6"/>
      <c r="M6"/>
      <c r="N6"/>
      <c r="O6"/>
    </row>
    <row r="7" spans="1:15" ht="15.75" customHeight="1" x14ac:dyDescent="0.2">
      <c r="A7" s="90" t="s">
        <v>37</v>
      </c>
      <c r="B7" s="90">
        <v>2012</v>
      </c>
      <c r="C7" s="90" t="s">
        <v>16</v>
      </c>
      <c r="D7" s="90" t="s">
        <v>12</v>
      </c>
      <c r="E7" s="461">
        <f>SUMIF('Reviews (by dept)'!A:A,Table69[[#This Row],[Title]],'Reviews (by dept)'!I:I)</f>
        <v>129</v>
      </c>
      <c r="F7" s="461">
        <f>SUMIF('Reviews (by dept)'!A:A,Table69[[#This Row],[Title]],'Reviews (by dept)'!G:G)</f>
        <v>129</v>
      </c>
      <c r="G7"/>
      <c r="H7"/>
      <c r="I7"/>
      <c r="J7"/>
      <c r="K7"/>
      <c r="L7"/>
      <c r="M7"/>
      <c r="N7"/>
      <c r="O7"/>
    </row>
    <row r="8" spans="1:15" ht="15.75" customHeight="1" x14ac:dyDescent="0.2">
      <c r="A8" s="90" t="s">
        <v>39</v>
      </c>
      <c r="B8" s="90">
        <v>2012</v>
      </c>
      <c r="C8" s="90" t="s">
        <v>7</v>
      </c>
      <c r="D8" s="90" t="s">
        <v>12</v>
      </c>
      <c r="E8" s="461">
        <f>SUMIF('Reviews (by dept)'!A:A,Table69[[#This Row],[Title]],'Reviews (by dept)'!I:I)</f>
        <v>32</v>
      </c>
      <c r="F8" s="461">
        <f>SUMIF('Reviews (by dept)'!A:A,Table69[[#This Row],[Title]],'Reviews (by dept)'!G:G)</f>
        <v>140</v>
      </c>
      <c r="G8"/>
      <c r="H8"/>
      <c r="I8"/>
      <c r="J8"/>
      <c r="K8"/>
      <c r="L8"/>
      <c r="M8"/>
      <c r="N8"/>
      <c r="O8"/>
    </row>
    <row r="9" spans="1:15" ht="15.75" customHeight="1" x14ac:dyDescent="0.2">
      <c r="A9" s="90" t="s">
        <v>23</v>
      </c>
      <c r="B9" s="90">
        <v>2012</v>
      </c>
      <c r="C9" s="90" t="s">
        <v>16</v>
      </c>
      <c r="D9" s="90" t="s">
        <v>12</v>
      </c>
      <c r="E9" s="461">
        <f>SUMIF('Reviews (by dept)'!A:A,Table69[[#This Row],[Title]],'Reviews (by dept)'!I:I)</f>
        <v>205.10000000000002</v>
      </c>
      <c r="F9" s="461">
        <f>SUMIF('Reviews (by dept)'!A:A,Table69[[#This Row],[Title]],'Reviews (by dept)'!G:G)</f>
        <v>1400</v>
      </c>
      <c r="G9"/>
      <c r="H9"/>
      <c r="I9"/>
      <c r="J9"/>
      <c r="K9"/>
      <c r="L9"/>
      <c r="M9"/>
      <c r="N9"/>
      <c r="O9"/>
    </row>
    <row r="10" spans="1:15" ht="15.75" customHeight="1" x14ac:dyDescent="0.2">
      <c r="A10" s="90" t="s">
        <v>35</v>
      </c>
      <c r="B10" s="90">
        <v>2012</v>
      </c>
      <c r="C10" s="90" t="s">
        <v>7</v>
      </c>
      <c r="D10" s="90" t="s">
        <v>12</v>
      </c>
      <c r="E10" s="462">
        <f>SUMIF('Reviews (by dept)'!A:A,Table69[[#This Row],[Title]],'Reviews (by dept)'!I:I)</f>
        <v>180</v>
      </c>
      <c r="F10" s="462">
        <f>SUMIF('Reviews (by dept)'!A:A,Table69[[#This Row],[Title]],'Reviews (by dept)'!G:G)</f>
        <v>279</v>
      </c>
      <c r="G10"/>
      <c r="H10"/>
      <c r="I10"/>
      <c r="J10"/>
      <c r="K10"/>
      <c r="L10"/>
      <c r="M10"/>
      <c r="N10"/>
      <c r="O10"/>
    </row>
    <row r="11" spans="1:15" ht="15.75" customHeight="1" x14ac:dyDescent="0.2">
      <c r="A11" s="90" t="s">
        <v>25</v>
      </c>
      <c r="B11" s="90">
        <v>2012</v>
      </c>
      <c r="C11" s="90" t="s">
        <v>16</v>
      </c>
      <c r="D11" s="90" t="s">
        <v>12</v>
      </c>
      <c r="E11" s="461">
        <f>SUMIF('Reviews (by dept)'!A:A,Table69[[#This Row],[Title]],'Reviews (by dept)'!I:I)</f>
        <v>119.2</v>
      </c>
      <c r="F11" s="461">
        <f>SUMIF('Reviews (by dept)'!A:A,Table69[[#This Row],[Title]],'Reviews (by dept)'!G:G)</f>
        <v>119.2</v>
      </c>
      <c r="G11"/>
      <c r="H11"/>
      <c r="I11"/>
      <c r="J11"/>
      <c r="K11"/>
      <c r="L11"/>
      <c r="M11"/>
      <c r="N11"/>
      <c r="O11"/>
    </row>
    <row r="12" spans="1:15" ht="15.75" customHeight="1" x14ac:dyDescent="0.2">
      <c r="A12" s="90" t="s">
        <v>33</v>
      </c>
      <c r="B12" s="90">
        <v>2012</v>
      </c>
      <c r="C12" s="90" t="s">
        <v>16</v>
      </c>
      <c r="D12" s="90" t="s">
        <v>11</v>
      </c>
      <c r="E12" s="461">
        <f>SUMIF('Reviews (by dept)'!A:A,Table69[[#This Row],[Title]],'Reviews (by dept)'!I:I)</f>
        <v>14.2</v>
      </c>
      <c r="F12" s="461">
        <f>SUMIF('Reviews (by dept)'!A:A,Table69[[#This Row],[Title]],'Reviews (by dept)'!G:G)</f>
        <v>180</v>
      </c>
      <c r="G12"/>
      <c r="H12"/>
      <c r="I12"/>
      <c r="J12"/>
      <c r="K12"/>
      <c r="L12"/>
      <c r="M12"/>
      <c r="N12"/>
      <c r="O12"/>
    </row>
    <row r="13" spans="1:15" ht="15.75" customHeight="1" x14ac:dyDescent="0.2">
      <c r="A13" s="90" t="s">
        <v>22</v>
      </c>
      <c r="B13" s="90">
        <v>2012</v>
      </c>
      <c r="C13" s="90" t="s">
        <v>16</v>
      </c>
      <c r="D13" s="90" t="s">
        <v>12</v>
      </c>
      <c r="E13" s="461">
        <f>SUMIF('Reviews (by dept)'!A:A,Table69[[#This Row],[Title]],'Reviews (by dept)'!I:I)</f>
        <v>11.6</v>
      </c>
      <c r="F13" s="461">
        <f>SUMIF('Reviews (by dept)'!A:A,Table69[[#This Row],[Title]],'Reviews (by dept)'!G:G)</f>
        <v>11.6</v>
      </c>
      <c r="G13"/>
      <c r="H13"/>
      <c r="I13"/>
      <c r="J13"/>
      <c r="K13"/>
      <c r="L13"/>
      <c r="M13"/>
      <c r="N13"/>
      <c r="O13"/>
    </row>
    <row r="14" spans="1:15" ht="15.75" customHeight="1" x14ac:dyDescent="0.2">
      <c r="A14" s="90" t="s">
        <v>31</v>
      </c>
      <c r="B14" s="90">
        <v>2012</v>
      </c>
      <c r="C14" s="90" t="s">
        <v>7</v>
      </c>
      <c r="D14" s="90" t="s">
        <v>12</v>
      </c>
      <c r="E14" s="461">
        <f>SUMIF('Reviews (by dept)'!A:A,Table69[[#This Row],[Title]],'Reviews (by dept)'!I:I)</f>
        <v>408.5</v>
      </c>
      <c r="F14" s="461">
        <f>SUMIF('Reviews (by dept)'!A:A,Table69[[#This Row],[Title]],'Reviews (by dept)'!G:G)</f>
        <v>570</v>
      </c>
      <c r="G14"/>
      <c r="H14"/>
      <c r="I14"/>
      <c r="J14"/>
      <c r="K14"/>
      <c r="L14"/>
      <c r="M14"/>
      <c r="N14"/>
      <c r="O14"/>
    </row>
    <row r="15" spans="1:15" ht="15.75" customHeight="1" x14ac:dyDescent="0.2">
      <c r="A15" s="90" t="s">
        <v>42</v>
      </c>
      <c r="B15" s="90">
        <v>2012</v>
      </c>
      <c r="C15" s="90" t="s">
        <v>7</v>
      </c>
      <c r="D15" s="90" t="s">
        <v>12</v>
      </c>
      <c r="E15" s="461">
        <f>SUMIF('Reviews (by dept)'!A:A,Table69[[#This Row],[Title]],'Reviews (by dept)'!I:I)</f>
        <v>1600</v>
      </c>
      <c r="F15" s="461">
        <f>SUMIF('Reviews (by dept)'!A:A,Table69[[#This Row],[Title]],'Reviews (by dept)'!G:G)</f>
        <v>5100</v>
      </c>
      <c r="G15"/>
      <c r="H15"/>
      <c r="I15"/>
      <c r="J15"/>
      <c r="K15"/>
      <c r="L15"/>
      <c r="M15"/>
      <c r="N15"/>
      <c r="O15"/>
    </row>
    <row r="16" spans="1:15" ht="15.75" customHeight="1" x14ac:dyDescent="0.2">
      <c r="A16" s="90" t="s">
        <v>38</v>
      </c>
      <c r="B16" s="90">
        <v>2012</v>
      </c>
      <c r="C16" s="90" t="s">
        <v>7</v>
      </c>
      <c r="D16" s="90" t="s">
        <v>12</v>
      </c>
      <c r="E16" s="461">
        <f>SUMIF('Reviews (by dept)'!A:A,Table69[[#This Row],[Title]],'Reviews (by dept)'!I:I)</f>
        <v>182</v>
      </c>
      <c r="F16" s="461">
        <f>SUMIF('Reviews (by dept)'!A:A,Table69[[#This Row],[Title]],'Reviews (by dept)'!G:G)</f>
        <v>644</v>
      </c>
      <c r="G16"/>
      <c r="H16"/>
      <c r="I16"/>
      <c r="J16"/>
      <c r="K16"/>
      <c r="L16"/>
      <c r="M16"/>
      <c r="N16"/>
      <c r="O16"/>
    </row>
    <row r="17" spans="1:15" ht="15.75" customHeight="1" x14ac:dyDescent="0.2">
      <c r="A17" s="90" t="s">
        <v>29</v>
      </c>
      <c r="B17" s="90">
        <v>2012</v>
      </c>
      <c r="C17" s="90" t="s">
        <v>7</v>
      </c>
      <c r="D17" s="90" t="s">
        <v>12</v>
      </c>
      <c r="E17" s="461">
        <f>SUMIF('Reviews (by dept)'!A:A,Table69[[#This Row],[Title]],'Reviews (by dept)'!I:I)</f>
        <v>158.6</v>
      </c>
      <c r="F17" s="461">
        <f>SUMIF('Reviews (by dept)'!A:A,Table69[[#This Row],[Title]],'Reviews (by dept)'!G:G)</f>
        <v>200</v>
      </c>
      <c r="G17"/>
      <c r="H17"/>
      <c r="I17"/>
      <c r="J17"/>
      <c r="K17"/>
      <c r="L17"/>
      <c r="M17"/>
      <c r="N17"/>
      <c r="O17"/>
    </row>
    <row r="18" spans="1:15" ht="15.75" customHeight="1" x14ac:dyDescent="0.2">
      <c r="A18" s="92" t="s">
        <v>54</v>
      </c>
      <c r="B18" s="92">
        <v>2013</v>
      </c>
      <c r="C18" s="92" t="s">
        <v>7</v>
      </c>
      <c r="D18" s="90" t="s">
        <v>12</v>
      </c>
      <c r="E18" s="462">
        <f>SUMIF('Reviews (by dept)'!A:A,Table69[[#This Row],[Title]],'Reviews (by dept)'!I:I)</f>
        <v>41</v>
      </c>
      <c r="F18" s="462">
        <f>SUMIF('Reviews (by dept)'!A:A,Table69[[#This Row],[Title]],'Reviews (by dept)'!G:G)</f>
        <v>41</v>
      </c>
      <c r="G18"/>
      <c r="H18"/>
      <c r="I18"/>
      <c r="J18"/>
      <c r="K18"/>
      <c r="L18"/>
      <c r="M18"/>
      <c r="N18"/>
      <c r="O18"/>
    </row>
    <row r="19" spans="1:15" ht="15.75" customHeight="1" x14ac:dyDescent="0.2">
      <c r="A19" s="91" t="s">
        <v>58</v>
      </c>
      <c r="B19" s="91">
        <v>2013</v>
      </c>
      <c r="C19" s="91" t="s">
        <v>27</v>
      </c>
      <c r="D19" s="90" t="s">
        <v>12</v>
      </c>
      <c r="E19" s="462">
        <f>SUMIF('Reviews (by dept)'!A:A,Table69[[#This Row],[Title]],'Reviews (by dept)'!I:I)</f>
        <v>135.178</v>
      </c>
      <c r="F19" s="462">
        <f>SUMIF('Reviews (by dept)'!A:A,Table69[[#This Row],[Title]],'Reviews (by dept)'!G:G)</f>
        <v>135.178</v>
      </c>
      <c r="G19"/>
      <c r="H19"/>
      <c r="I19"/>
      <c r="J19"/>
      <c r="K19"/>
      <c r="L19"/>
      <c r="M19"/>
      <c r="N19"/>
      <c r="O19"/>
    </row>
    <row r="20" spans="1:15" ht="15.75" customHeight="1" x14ac:dyDescent="0.2">
      <c r="A20" s="92" t="s">
        <v>46</v>
      </c>
      <c r="B20" s="92">
        <v>2013</v>
      </c>
      <c r="C20" s="92" t="s">
        <v>27</v>
      </c>
      <c r="D20" s="90" t="s">
        <v>12</v>
      </c>
      <c r="E20" s="462">
        <f>SUMIF('Reviews (by dept)'!A:A,Table69[[#This Row],[Title]],'Reviews (by dept)'!I:I)</f>
        <v>32.75</v>
      </c>
      <c r="F20" s="462">
        <f>SUMIF('Reviews (by dept)'!A:A,Table69[[#This Row],[Title]],'Reviews (by dept)'!G:G)</f>
        <v>32.75</v>
      </c>
      <c r="G20"/>
      <c r="H20"/>
      <c r="I20"/>
      <c r="J20"/>
      <c r="K20"/>
      <c r="L20"/>
      <c r="M20"/>
      <c r="N20"/>
      <c r="O20"/>
    </row>
    <row r="21" spans="1:15" ht="15.75" customHeight="1" x14ac:dyDescent="0.2">
      <c r="A21" s="92" t="s">
        <v>49</v>
      </c>
      <c r="B21" s="92">
        <v>2013</v>
      </c>
      <c r="C21" s="92" t="s">
        <v>7</v>
      </c>
      <c r="D21" s="90" t="s">
        <v>12</v>
      </c>
      <c r="E21" s="462">
        <f>SUMIF('Reviews (by dept)'!A:A,Table69[[#This Row],[Title]],'Reviews (by dept)'!I:I)</f>
        <v>53</v>
      </c>
      <c r="F21" s="462">
        <f>SUMIF('Reviews (by dept)'!A:A,Table69[[#This Row],[Title]],'Reviews (by dept)'!G:G)</f>
        <v>53</v>
      </c>
      <c r="G21"/>
      <c r="H21"/>
      <c r="I21"/>
      <c r="J21"/>
      <c r="K21"/>
      <c r="L21"/>
      <c r="M21"/>
      <c r="N21"/>
      <c r="O21"/>
    </row>
    <row r="22" spans="1:15" ht="15.75" customHeight="1" x14ac:dyDescent="0.2">
      <c r="A22" s="91" t="s">
        <v>62</v>
      </c>
      <c r="B22" s="91">
        <v>2013</v>
      </c>
      <c r="C22" s="91" t="s">
        <v>7</v>
      </c>
      <c r="D22" s="90" t="s">
        <v>12</v>
      </c>
      <c r="E22" s="462">
        <f>SUMIF('Reviews (by dept)'!A:A,Table69[[#This Row],[Title]],'Reviews (by dept)'!I:I)</f>
        <v>31.9</v>
      </c>
      <c r="F22" s="462">
        <f>SUMIF('Reviews (by dept)'!A:A,Table69[[#This Row],[Title]],'Reviews (by dept)'!G:G)</f>
        <v>120</v>
      </c>
      <c r="G22"/>
      <c r="H22"/>
      <c r="I22"/>
      <c r="J22"/>
      <c r="K22"/>
      <c r="L22"/>
      <c r="M22"/>
      <c r="N22"/>
      <c r="O22"/>
    </row>
    <row r="23" spans="1:15" ht="15.75" customHeight="1" x14ac:dyDescent="0.2">
      <c r="A23" s="91" t="s">
        <v>55</v>
      </c>
      <c r="B23" s="91">
        <v>2013</v>
      </c>
      <c r="C23" s="91" t="s">
        <v>7</v>
      </c>
      <c r="D23" s="90" t="s">
        <v>12</v>
      </c>
      <c r="E23" s="462">
        <f>SUMIF('Reviews (by dept)'!A:A,Table69[[#This Row],[Title]],'Reviews (by dept)'!I:I)</f>
        <v>245.5</v>
      </c>
      <c r="F23" s="462">
        <f>SUMIF('Reviews (by dept)'!A:A,Table69[[#This Row],[Title]],'Reviews (by dept)'!G:G)</f>
        <v>173.2</v>
      </c>
      <c r="G23"/>
      <c r="H23"/>
      <c r="I23"/>
      <c r="J23"/>
      <c r="K23"/>
      <c r="L23"/>
      <c r="M23"/>
      <c r="N23"/>
      <c r="O23"/>
    </row>
    <row r="24" spans="1:15" ht="15.75" customHeight="1" x14ac:dyDescent="0.2">
      <c r="A24" s="91" t="s">
        <v>52</v>
      </c>
      <c r="B24" s="91">
        <v>2013</v>
      </c>
      <c r="C24" s="91" t="s">
        <v>7</v>
      </c>
      <c r="D24" s="90" t="s">
        <v>12</v>
      </c>
      <c r="E24" s="462">
        <f>SUMIF('Reviews (by dept)'!A:A,Table69[[#This Row],[Title]],'Reviews (by dept)'!I:I)</f>
        <v>267.89999999999998</v>
      </c>
      <c r="F24" s="462">
        <f>SUMIF('Reviews (by dept)'!A:A,Table69[[#This Row],[Title]],'Reviews (by dept)'!G:G)</f>
        <v>350</v>
      </c>
      <c r="G24"/>
      <c r="H24"/>
      <c r="I24"/>
      <c r="J24"/>
      <c r="K24"/>
      <c r="L24"/>
      <c r="M24"/>
      <c r="N24"/>
      <c r="O24"/>
    </row>
    <row r="25" spans="1:15" ht="15.75" customHeight="1" x14ac:dyDescent="0.2">
      <c r="A25" s="92" t="s">
        <v>57</v>
      </c>
      <c r="B25" s="91">
        <v>2013</v>
      </c>
      <c r="C25" s="92" t="s">
        <v>16</v>
      </c>
      <c r="D25" s="90" t="s">
        <v>12</v>
      </c>
      <c r="E25" s="462">
        <f>SUMIF('Reviews (by dept)'!A:A,Table69[[#This Row],[Title]],'Reviews (by dept)'!I:I)</f>
        <v>34.099999999999994</v>
      </c>
      <c r="F25" s="462">
        <f>SUMIF('Reviews (by dept)'!A:A,Table69[[#This Row],[Title]],'Reviews (by dept)'!G:G)</f>
        <v>24</v>
      </c>
      <c r="G25"/>
      <c r="H25"/>
      <c r="I25"/>
      <c r="J25"/>
      <c r="K25"/>
      <c r="L25"/>
      <c r="M25"/>
      <c r="N25"/>
      <c r="O25"/>
    </row>
    <row r="26" spans="1:15" ht="12.75" x14ac:dyDescent="0.2">
      <c r="A26" s="91" t="s">
        <v>50</v>
      </c>
      <c r="B26" s="91">
        <v>2013</v>
      </c>
      <c r="C26" s="91" t="s">
        <v>21</v>
      </c>
      <c r="D26" s="90" t="s">
        <v>12</v>
      </c>
      <c r="E26" s="462">
        <f>SUMIF('Reviews (by dept)'!A:A,Table69[[#This Row],[Title]],'Reviews (by dept)'!I:I)</f>
        <v>109</v>
      </c>
      <c r="F26" s="462">
        <f>SUMIF('Reviews (by dept)'!A:A,Table69[[#This Row],[Title]],'Reviews (by dept)'!G:G)</f>
        <v>109</v>
      </c>
      <c r="G26"/>
      <c r="H26"/>
      <c r="I26"/>
      <c r="J26"/>
      <c r="K26"/>
      <c r="L26"/>
      <c r="M26"/>
      <c r="N26"/>
      <c r="O26"/>
    </row>
    <row r="27" spans="1:15" ht="12.75" x14ac:dyDescent="0.2">
      <c r="A27" s="91" t="s">
        <v>44</v>
      </c>
      <c r="B27" s="91">
        <v>2013</v>
      </c>
      <c r="C27" s="91" t="s">
        <v>7</v>
      </c>
      <c r="D27" s="90" t="s">
        <v>12</v>
      </c>
      <c r="E27" s="462">
        <f>SUMIF('Reviews (by dept)'!A:A,Table69[[#This Row],[Title]],'Reviews (by dept)'!I:I)</f>
        <v>264</v>
      </c>
      <c r="F27" s="462">
        <f>SUMIF('Reviews (by dept)'!A:A,Table69[[#This Row],[Title]],'Reviews (by dept)'!G:G)</f>
        <v>488</v>
      </c>
      <c r="G27"/>
      <c r="H27"/>
      <c r="I27"/>
      <c r="J27"/>
      <c r="K27"/>
      <c r="L27"/>
      <c r="M27"/>
      <c r="N27"/>
      <c r="O27"/>
    </row>
    <row r="28" spans="1:15" ht="12.75" x14ac:dyDescent="0.2">
      <c r="A28" s="92" t="s">
        <v>61</v>
      </c>
      <c r="B28" s="92">
        <v>2013</v>
      </c>
      <c r="C28" s="92" t="s">
        <v>16</v>
      </c>
      <c r="D28" s="90" t="s">
        <v>12</v>
      </c>
      <c r="E28" s="462">
        <f>SUMIF('Reviews (by dept)'!A:A,Table69[[#This Row],[Title]],'Reviews (by dept)'!I:I)</f>
        <v>45.5</v>
      </c>
      <c r="F28" s="462">
        <f>SUMIF('Reviews (by dept)'!A:A,Table69[[#This Row],[Title]],'Reviews (by dept)'!G:G)</f>
        <v>55.9</v>
      </c>
      <c r="G28"/>
      <c r="H28"/>
      <c r="I28"/>
      <c r="J28"/>
      <c r="K28"/>
      <c r="L28"/>
      <c r="M28"/>
      <c r="N28"/>
      <c r="O28"/>
    </row>
    <row r="29" spans="1:15" ht="12.75" x14ac:dyDescent="0.2">
      <c r="A29" s="92" t="s">
        <v>47</v>
      </c>
      <c r="B29" s="92">
        <v>2013</v>
      </c>
      <c r="C29" s="92" t="s">
        <v>7</v>
      </c>
      <c r="D29" s="90" t="s">
        <v>12</v>
      </c>
      <c r="E29" s="462">
        <f>SUMIF('Reviews (by dept)'!A:A,Table69[[#This Row],[Title]],'Reviews (by dept)'!I:I)</f>
        <v>48.4</v>
      </c>
      <c r="F29" s="462">
        <f>SUMIF('Reviews (by dept)'!A:A,Table69[[#This Row],[Title]],'Reviews (by dept)'!G:G)</f>
        <v>690</v>
      </c>
      <c r="G29"/>
      <c r="H29"/>
      <c r="I29"/>
      <c r="J29"/>
      <c r="K29"/>
      <c r="L29"/>
      <c r="M29"/>
      <c r="N29"/>
      <c r="O29"/>
    </row>
    <row r="30" spans="1:15" ht="12.75" x14ac:dyDescent="0.2">
      <c r="A30" s="91" t="s">
        <v>59</v>
      </c>
      <c r="B30" s="91">
        <v>2013</v>
      </c>
      <c r="C30" s="91" t="s">
        <v>7</v>
      </c>
      <c r="D30" s="92" t="s">
        <v>11</v>
      </c>
      <c r="E30" s="462">
        <f>SUMIF('Reviews (by dept)'!A:A,Table69[[#This Row],[Title]],'Reviews (by dept)'!I:I)</f>
        <v>23.161000000000001</v>
      </c>
      <c r="F30" s="462">
        <f>SUMIF('Reviews (by dept)'!A:A,Table69[[#This Row],[Title]],'Reviews (by dept)'!G:G)</f>
        <v>38.799999999999997</v>
      </c>
      <c r="G30"/>
      <c r="H30"/>
      <c r="I30"/>
      <c r="J30"/>
      <c r="K30"/>
      <c r="L30"/>
      <c r="M30"/>
      <c r="N30"/>
      <c r="O30"/>
    </row>
    <row r="31" spans="1:15" ht="12.75" x14ac:dyDescent="0.2">
      <c r="A31" s="92" t="s">
        <v>68</v>
      </c>
      <c r="B31" s="92">
        <v>2014</v>
      </c>
      <c r="C31" s="92" t="s">
        <v>16</v>
      </c>
      <c r="D31" s="90" t="s">
        <v>12</v>
      </c>
      <c r="E31" s="462">
        <f>SUMIF('Reviews (by dept)'!A:A,Table69[[#This Row],[Title]],'Reviews (by dept)'!I:I)</f>
        <v>22</v>
      </c>
      <c r="F31" s="462">
        <f>SUMIF('Reviews (by dept)'!A:A,Table69[[#This Row],[Title]],'Reviews (by dept)'!G:G)</f>
        <v>22</v>
      </c>
      <c r="G31"/>
      <c r="H31"/>
      <c r="I31"/>
      <c r="J31"/>
      <c r="K31"/>
      <c r="L31"/>
      <c r="M31"/>
      <c r="N31"/>
      <c r="O31"/>
    </row>
    <row r="32" spans="1:15" ht="12.75" x14ac:dyDescent="0.2">
      <c r="A32" s="92" t="s">
        <v>76</v>
      </c>
      <c r="B32" s="92">
        <v>2014</v>
      </c>
      <c r="C32" s="92" t="s">
        <v>16</v>
      </c>
      <c r="D32" s="92" t="s">
        <v>12</v>
      </c>
      <c r="E32" s="462">
        <f>SUMIF('Reviews (by dept)'!A:A,Table69[[#This Row],[Title]],'Reviews (by dept)'!I:I)</f>
        <v>97.800000000000011</v>
      </c>
      <c r="F32" s="462">
        <f>SUMIF('Reviews (by dept)'!A:A,Table69[[#This Row],[Title]],'Reviews (by dept)'!G:G)</f>
        <v>63.333333333333336</v>
      </c>
      <c r="G32"/>
      <c r="H32"/>
      <c r="I32"/>
      <c r="J32"/>
      <c r="K32"/>
      <c r="L32"/>
      <c r="M32"/>
      <c r="N32"/>
      <c r="O32"/>
    </row>
    <row r="33" spans="1:15" ht="12.75" x14ac:dyDescent="0.2">
      <c r="A33" s="92" t="s">
        <v>70</v>
      </c>
      <c r="B33" s="92">
        <v>2014</v>
      </c>
      <c r="C33" s="92" t="s">
        <v>7</v>
      </c>
      <c r="D33" s="92" t="s">
        <v>12</v>
      </c>
      <c r="E33" s="462">
        <f>SUMIF('Reviews (by dept)'!A:A,Table69[[#This Row],[Title]],'Reviews (by dept)'!I:I)</f>
        <v>279.60000000000002</v>
      </c>
      <c r="F33" s="462">
        <f>SUMIF('Reviews (by dept)'!A:A,Table69[[#This Row],[Title]],'Reviews (by dept)'!G:G)</f>
        <v>192.8</v>
      </c>
      <c r="G33"/>
      <c r="H33"/>
      <c r="I33"/>
      <c r="J33"/>
      <c r="K33"/>
      <c r="L33"/>
      <c r="M33"/>
      <c r="N33"/>
      <c r="O33"/>
    </row>
    <row r="34" spans="1:15" ht="12.75" x14ac:dyDescent="0.2">
      <c r="A34" s="91" t="s">
        <v>74</v>
      </c>
      <c r="B34" s="91">
        <v>2014</v>
      </c>
      <c r="C34" s="91" t="s">
        <v>7</v>
      </c>
      <c r="D34" s="92" t="s">
        <v>12</v>
      </c>
      <c r="E34" s="462">
        <f>SUMIF('Reviews (by dept)'!A:A,Table69[[#This Row],[Title]],'Reviews (by dept)'!I:I)</f>
        <v>163</v>
      </c>
      <c r="F34" s="462">
        <f>SUMIF('Reviews (by dept)'!A:A,Table69[[#This Row],[Title]],'Reviews (by dept)'!G:G)</f>
        <v>37</v>
      </c>
      <c r="G34"/>
      <c r="H34"/>
      <c r="I34"/>
      <c r="J34"/>
      <c r="K34"/>
      <c r="L34"/>
      <c r="M34"/>
      <c r="N34"/>
      <c r="O34"/>
    </row>
    <row r="35" spans="1:15" ht="12.75" x14ac:dyDescent="0.2">
      <c r="A35" s="91" t="s">
        <v>72</v>
      </c>
      <c r="B35" s="91">
        <v>2014</v>
      </c>
      <c r="C35" s="91" t="s">
        <v>16</v>
      </c>
      <c r="D35" s="92" t="s">
        <v>12</v>
      </c>
      <c r="E35" s="462">
        <f>SUMIF('Reviews (by dept)'!A:A,Table69[[#This Row],[Title]],'Reviews (by dept)'!I:I)</f>
        <v>328</v>
      </c>
      <c r="F35" s="462">
        <f>SUMIF('Reviews (by dept)'!A:A,Table69[[#This Row],[Title]],'Reviews (by dept)'!G:G)</f>
        <v>1800</v>
      </c>
      <c r="G35"/>
      <c r="H35"/>
      <c r="I35"/>
      <c r="J35"/>
      <c r="K35"/>
      <c r="L35"/>
      <c r="M35"/>
      <c r="N35"/>
      <c r="O35"/>
    </row>
    <row r="36" spans="1:15" ht="12.75" x14ac:dyDescent="0.2">
      <c r="A36" s="92" t="s">
        <v>75</v>
      </c>
      <c r="B36" s="92">
        <v>2014</v>
      </c>
      <c r="C36" s="92" t="s">
        <v>27</v>
      </c>
      <c r="D36" s="92" t="s">
        <v>12</v>
      </c>
      <c r="E36" s="462">
        <f>SUMIF('Reviews (by dept)'!A:A,Table69[[#This Row],[Title]],'Reviews (by dept)'!I:I)</f>
        <v>77</v>
      </c>
      <c r="F36" s="462">
        <f>SUMIF('Reviews (by dept)'!A:A,Table69[[#This Row],[Title]],'Reviews (by dept)'!G:G)</f>
        <v>77</v>
      </c>
      <c r="G36"/>
      <c r="H36"/>
      <c r="I36"/>
      <c r="J36"/>
      <c r="K36"/>
      <c r="L36"/>
      <c r="M36"/>
      <c r="N36"/>
      <c r="O36"/>
    </row>
    <row r="37" spans="1:15" ht="12.75" x14ac:dyDescent="0.2">
      <c r="A37" s="92" t="s">
        <v>64</v>
      </c>
      <c r="B37" s="92">
        <v>2014</v>
      </c>
      <c r="C37" s="92" t="s">
        <v>63</v>
      </c>
      <c r="D37" s="92" t="s">
        <v>12</v>
      </c>
      <c r="E37" s="462">
        <f>SUMIF('Reviews (by dept)'!A:A,Table69[[#This Row],[Title]],'Reviews (by dept)'!I:I)</f>
        <v>0</v>
      </c>
      <c r="F37" s="462">
        <f>SUMIF('Reviews (by dept)'!A:A,Table69[[#This Row],[Title]],'Reviews (by dept)'!G:G)</f>
        <v>0</v>
      </c>
      <c r="G37"/>
      <c r="H37"/>
      <c r="I37"/>
      <c r="J37"/>
      <c r="K37"/>
      <c r="L37"/>
      <c r="M37"/>
      <c r="N37"/>
      <c r="O37"/>
    </row>
    <row r="38" spans="1:15" ht="12.75" x14ac:dyDescent="0.2">
      <c r="A38" s="92" t="s">
        <v>66</v>
      </c>
      <c r="B38" s="92">
        <v>2014</v>
      </c>
      <c r="C38" s="92" t="s">
        <v>7</v>
      </c>
      <c r="D38" s="92" t="s">
        <v>12</v>
      </c>
      <c r="E38" s="462">
        <f>SUMIF('Reviews (by dept)'!A:A,Table69[[#This Row],[Title]],'Reviews (by dept)'!I:I)</f>
        <v>1198</v>
      </c>
      <c r="F38" s="462">
        <f>SUMIF('Reviews (by dept)'!A:A,Table69[[#This Row],[Title]],'Reviews (by dept)'!G:G)</f>
        <v>4190</v>
      </c>
      <c r="G38"/>
      <c r="H38"/>
      <c r="I38"/>
      <c r="J38"/>
      <c r="K38"/>
      <c r="L38"/>
      <c r="M38"/>
      <c r="N38"/>
      <c r="O38"/>
    </row>
    <row r="39" spans="1:15" ht="12.75" x14ac:dyDescent="0.2">
      <c r="A39" s="92" t="s">
        <v>80</v>
      </c>
      <c r="B39" s="92">
        <v>2015</v>
      </c>
      <c r="C39" s="92" t="s">
        <v>63</v>
      </c>
      <c r="D39" s="92" t="s">
        <v>14</v>
      </c>
      <c r="E39" s="462">
        <f>SUMIF('Reviews (by dept)'!A:A,Table69[[#This Row],[Title]],'Reviews (by dept)'!I:I)</f>
        <v>0</v>
      </c>
      <c r="F39" s="462">
        <f>SUMIF('Reviews (by dept)'!A:A,Table69[[#This Row],[Title]],'Reviews (by dept)'!G:G)</f>
        <v>0</v>
      </c>
      <c r="G39"/>
      <c r="H39"/>
      <c r="I39"/>
      <c r="J39"/>
      <c r="K39"/>
      <c r="L39"/>
      <c r="M39"/>
      <c r="N39"/>
      <c r="O39"/>
    </row>
    <row r="40" spans="1:15" ht="12.75" x14ac:dyDescent="0.2">
      <c r="A40" s="92" t="s">
        <v>82</v>
      </c>
      <c r="B40" s="92">
        <v>2015</v>
      </c>
      <c r="C40" s="92" t="s">
        <v>16</v>
      </c>
      <c r="D40" s="92" t="s">
        <v>12</v>
      </c>
      <c r="E40" s="462">
        <f>SUMIF('Reviews (by dept)'!A:A,Table69[[#This Row],[Title]],'Reviews (by dept)'!I:I)</f>
        <v>948.5</v>
      </c>
      <c r="F40" s="462">
        <f>SUMIF('Reviews (by dept)'!A:A,Table69[[#This Row],[Title]],'Reviews (by dept)'!G:G)</f>
        <v>3400</v>
      </c>
      <c r="G40"/>
      <c r="H40"/>
      <c r="I40"/>
      <c r="J40"/>
      <c r="K40"/>
      <c r="L40"/>
      <c r="M40"/>
      <c r="N40"/>
      <c r="O40"/>
    </row>
    <row r="41" spans="1:15" ht="12.75" x14ac:dyDescent="0.2">
      <c r="A41" s="92" t="s">
        <v>78</v>
      </c>
      <c r="B41" s="92">
        <v>2015</v>
      </c>
      <c r="C41" s="92" t="s">
        <v>16</v>
      </c>
      <c r="D41" s="92" t="s">
        <v>12</v>
      </c>
      <c r="E41" s="462">
        <f>SUMIF('Reviews (by dept)'!A:A,Table69[[#This Row],[Title]],'Reviews (by dept)'!I:I)</f>
        <v>238.13</v>
      </c>
      <c r="F41" s="462">
        <f>SUMIF('Reviews (by dept)'!A:A,Table69[[#This Row],[Title]],'Reviews (by dept)'!G:G)</f>
        <v>494</v>
      </c>
      <c r="G41"/>
      <c r="H41"/>
      <c r="I41"/>
      <c r="J41"/>
      <c r="K41"/>
      <c r="L41"/>
      <c r="M41"/>
      <c r="N41"/>
      <c r="O41"/>
    </row>
    <row r="42" spans="1:15" ht="12.75" x14ac:dyDescent="0.2">
      <c r="A42" s="92" t="s">
        <v>77</v>
      </c>
      <c r="B42" s="92">
        <v>2015</v>
      </c>
      <c r="C42" s="92" t="s">
        <v>7</v>
      </c>
      <c r="D42" s="92" t="s">
        <v>12</v>
      </c>
      <c r="E42" s="462">
        <f>SUMIF('Reviews (by dept)'!A:A,Table69[[#This Row],[Title]],'Reviews (by dept)'!I:I)</f>
        <v>304.02800000000002</v>
      </c>
      <c r="F42" s="462">
        <f>SUMIF('Reviews (by dept)'!A:A,Table69[[#This Row],[Title]],'Reviews (by dept)'!G:G)</f>
        <v>6300</v>
      </c>
      <c r="G42"/>
      <c r="H42"/>
      <c r="I42"/>
      <c r="J42"/>
      <c r="K42"/>
      <c r="L42"/>
      <c r="M42"/>
      <c r="N42"/>
      <c r="O42"/>
    </row>
    <row r="43" spans="1:15" ht="12.75" x14ac:dyDescent="0.2">
      <c r="A43" s="91" t="s">
        <v>79</v>
      </c>
      <c r="B43" s="91">
        <v>2015</v>
      </c>
      <c r="C43" s="91" t="s">
        <v>16</v>
      </c>
      <c r="D43" s="92" t="s">
        <v>12</v>
      </c>
      <c r="E43" s="462">
        <f>SUMIF('Reviews (by dept)'!A:A,Table69[[#This Row],[Title]],'Reviews (by dept)'!I:I)</f>
        <v>68.5</v>
      </c>
      <c r="F43" s="462">
        <f>SUMIF('Reviews (by dept)'!A:A,Table69[[#This Row],[Title]],'Reviews (by dept)'!G:G)</f>
        <v>210.4</v>
      </c>
      <c r="G43"/>
      <c r="H43"/>
      <c r="I43"/>
      <c r="J43"/>
      <c r="K43"/>
      <c r="L43"/>
      <c r="M43"/>
      <c r="N43"/>
      <c r="O43"/>
    </row>
    <row r="44" spans="1:15" ht="12.75" x14ac:dyDescent="0.2">
      <c r="A44" s="92" t="s">
        <v>15</v>
      </c>
      <c r="B44" s="92">
        <v>2016</v>
      </c>
      <c r="C44" s="92" t="s">
        <v>16</v>
      </c>
      <c r="D44" s="92" t="s">
        <v>12</v>
      </c>
      <c r="E44" s="462">
        <f>SUMIF('Reviews (by dept)'!A:A,Table69[[#This Row],[Title]],'Reviews (by dept)'!I:I)</f>
        <v>745</v>
      </c>
      <c r="F44" s="462">
        <f>SUMIF('Reviews (by dept)'!A:A,Table69[[#This Row],[Title]],'Reviews (by dept)'!G:G)</f>
        <v>1473</v>
      </c>
      <c r="G44"/>
      <c r="H44"/>
      <c r="I44"/>
      <c r="J44"/>
      <c r="K44"/>
      <c r="L44"/>
      <c r="M44"/>
      <c r="N44"/>
      <c r="O44"/>
    </row>
    <row r="45" spans="1:15" ht="12.75" x14ac:dyDescent="0.2">
      <c r="A45" s="92" t="s">
        <v>24</v>
      </c>
      <c r="B45" s="92">
        <v>2016</v>
      </c>
      <c r="C45" s="92" t="s">
        <v>7</v>
      </c>
      <c r="D45" s="92" t="s">
        <v>12</v>
      </c>
      <c r="E45" s="462">
        <f>SUMIF('Reviews (by dept)'!A:A,Table69[[#This Row],[Title]],'Reviews (by dept)'!I:I)</f>
        <v>229.66666666666666</v>
      </c>
      <c r="F45" s="462">
        <f>SUMIF('Reviews (by dept)'!A:A,Table69[[#This Row],[Title]],'Reviews (by dept)'!G:G)</f>
        <v>700</v>
      </c>
      <c r="G45"/>
      <c r="H45"/>
      <c r="I45"/>
      <c r="J45"/>
      <c r="K45"/>
      <c r="L45"/>
      <c r="M45"/>
      <c r="N45"/>
      <c r="O45"/>
    </row>
    <row r="46" spans="1:15" ht="12.75" x14ac:dyDescent="0.2">
      <c r="A46" s="92" t="s">
        <v>32</v>
      </c>
      <c r="B46" s="92">
        <v>2016</v>
      </c>
      <c r="C46" s="92" t="s">
        <v>7</v>
      </c>
      <c r="D46" s="92" t="s">
        <v>12</v>
      </c>
      <c r="E46" s="462">
        <f>SUMIF('Reviews (by dept)'!A:A,Table69[[#This Row],[Title]],'Reviews (by dept)'!I:I)</f>
        <v>734</v>
      </c>
      <c r="F46" s="462">
        <f>SUMIF('Reviews (by dept)'!A:A,Table69[[#This Row],[Title]],'Reviews (by dept)'!G:G)</f>
        <v>5500</v>
      </c>
      <c r="G46"/>
      <c r="H46"/>
      <c r="I46"/>
      <c r="J46"/>
      <c r="K46"/>
      <c r="L46"/>
      <c r="M46"/>
      <c r="N46"/>
      <c r="O46"/>
    </row>
    <row r="47" spans="1:15" ht="12.75" x14ac:dyDescent="0.2">
      <c r="A47" s="91" t="s">
        <v>26</v>
      </c>
      <c r="B47" s="91">
        <v>2016</v>
      </c>
      <c r="C47" s="91" t="s">
        <v>27</v>
      </c>
      <c r="D47" s="92" t="s">
        <v>12</v>
      </c>
      <c r="E47" s="462">
        <f>SUMIF('Reviews (by dept)'!A:A,Table69[[#This Row],[Title]],'Reviews (by dept)'!I:I)</f>
        <v>184</v>
      </c>
      <c r="F47" s="462">
        <f>SUMIF('Reviews (by dept)'!A:A,Table69[[#This Row],[Title]],'Reviews (by dept)'!G:G)</f>
        <v>184</v>
      </c>
      <c r="G47"/>
      <c r="H47"/>
      <c r="I47"/>
      <c r="J47"/>
      <c r="K47"/>
      <c r="L47"/>
      <c r="M47"/>
      <c r="N47"/>
      <c r="O47"/>
    </row>
    <row r="48" spans="1:15" ht="12.75" x14ac:dyDescent="0.2">
      <c r="A48" s="92" t="s">
        <v>30</v>
      </c>
      <c r="B48" s="92">
        <v>2016</v>
      </c>
      <c r="C48" s="92" t="s">
        <v>16</v>
      </c>
      <c r="D48" s="92" t="s">
        <v>12</v>
      </c>
      <c r="E48" s="462">
        <f>SUMIF('Reviews (by dept)'!A:A,Table69[[#This Row],[Title]],'Reviews (by dept)'!I:I)</f>
        <v>38.9</v>
      </c>
      <c r="F48" s="462">
        <f>SUMIF('Reviews (by dept)'!A:A,Table69[[#This Row],[Title]],'Reviews (by dept)'!G:G)</f>
        <v>38.9</v>
      </c>
      <c r="G48"/>
      <c r="H48"/>
      <c r="I48"/>
      <c r="J48"/>
      <c r="K48"/>
      <c r="L48"/>
      <c r="M48"/>
      <c r="N48"/>
      <c r="O48"/>
    </row>
    <row r="49" spans="1:15" ht="12.75" x14ac:dyDescent="0.2">
      <c r="A49" s="92" t="s">
        <v>19</v>
      </c>
      <c r="B49" s="92">
        <v>2016</v>
      </c>
      <c r="C49" s="92" t="s">
        <v>16</v>
      </c>
      <c r="D49" s="92" t="s">
        <v>12</v>
      </c>
      <c r="E49" s="462">
        <f>SUMIF('Reviews (by dept)'!A:A,Table69[[#This Row],[Title]],'Reviews (by dept)'!I:I)</f>
        <v>266.50979999999998</v>
      </c>
      <c r="F49" s="462">
        <f>SUMIF('Reviews (by dept)'!A:A,Table69[[#This Row],[Title]],'Reviews (by dept)'!G:G)</f>
        <v>266.50979999999998</v>
      </c>
      <c r="G49"/>
      <c r="H49"/>
      <c r="I49"/>
      <c r="J49"/>
      <c r="K49"/>
      <c r="L49"/>
      <c r="M49"/>
      <c r="N49"/>
      <c r="O49"/>
    </row>
    <row r="50" spans="1:15" ht="12.75" x14ac:dyDescent="0.2">
      <c r="A50" s="90" t="s">
        <v>330</v>
      </c>
      <c r="B50" s="92">
        <v>2017</v>
      </c>
      <c r="C50" s="92" t="s">
        <v>7</v>
      </c>
      <c r="D50" s="92" t="s">
        <v>12</v>
      </c>
      <c r="E50" s="462">
        <f>SUMIF('Reviews (by dept)'!A:A,Table69[[#This Row],[Title]],'Reviews (by dept)'!I:I)</f>
        <v>2060.0210559999996</v>
      </c>
      <c r="F50" s="462">
        <f>SUMIF('Reviews (by dept)'!A:A,Table69[[#This Row],[Title]],'Reviews (by dept)'!G:G)</f>
        <v>1400</v>
      </c>
      <c r="G50"/>
      <c r="H50"/>
      <c r="I50"/>
      <c r="J50"/>
      <c r="K50"/>
      <c r="L50"/>
      <c r="M50"/>
      <c r="N50"/>
      <c r="O50"/>
    </row>
    <row r="51" spans="1:15" ht="12.75" x14ac:dyDescent="0.2">
      <c r="A51" s="92" t="s">
        <v>41</v>
      </c>
      <c r="B51" s="92">
        <v>2017</v>
      </c>
      <c r="C51" s="92" t="s">
        <v>7</v>
      </c>
      <c r="D51" s="92" t="s">
        <v>12</v>
      </c>
      <c r="E51" s="462">
        <f>SUMIF('Reviews (by dept)'!A:A,Table69[[#This Row],[Title]],'Reviews (by dept)'!I:I)</f>
        <v>480.60000000000008</v>
      </c>
      <c r="F51" s="462">
        <f>SUMIF('Reviews (by dept)'!A:A,Table69[[#This Row],[Title]],'Reviews (by dept)'!G:G)</f>
        <v>1777</v>
      </c>
      <c r="G51"/>
      <c r="H51"/>
      <c r="I51"/>
      <c r="J51"/>
      <c r="K51"/>
      <c r="L51"/>
      <c r="M51"/>
      <c r="N51"/>
      <c r="O51"/>
    </row>
    <row r="52" spans="1:15" ht="12.75" x14ac:dyDescent="0.2">
      <c r="A52" s="91" t="s">
        <v>51</v>
      </c>
      <c r="B52" s="91">
        <v>2017</v>
      </c>
      <c r="C52" s="91" t="s">
        <v>63</v>
      </c>
      <c r="D52" s="91" t="s">
        <v>9</v>
      </c>
      <c r="E52" s="463">
        <f>SUMIF('Reviews (by dept)'!A:A,Table69[[#This Row],[Title]],'Reviews (by dept)'!I:I)</f>
        <v>1300</v>
      </c>
      <c r="F52" s="463">
        <f>SUMIF('Reviews (by dept)'!A:A,Table69[[#This Row],[Title]],'Reviews (by dept)'!G:G)</f>
        <v>1500</v>
      </c>
      <c r="G52"/>
      <c r="H52"/>
      <c r="I52"/>
      <c r="J52"/>
      <c r="K52"/>
      <c r="L52"/>
      <c r="M52"/>
      <c r="N52"/>
      <c r="O52"/>
    </row>
    <row r="53" spans="1:15" ht="12.75" x14ac:dyDescent="0.2">
      <c r="A53" s="91" t="s">
        <v>53</v>
      </c>
      <c r="B53" s="91">
        <v>2017</v>
      </c>
      <c r="C53" s="91" t="s">
        <v>63</v>
      </c>
      <c r="D53" s="91" t="s">
        <v>11</v>
      </c>
      <c r="E53" s="463">
        <f>SUMIF('Reviews (by dept)'!A:A,Table69[[#This Row],[Title]],'Reviews (by dept)'!I:I)</f>
        <v>850</v>
      </c>
      <c r="F53" s="463">
        <f>SUMIF('Reviews (by dept)'!A:A,Table69[[#This Row],[Title]],'Reviews (by dept)'!G:G)</f>
        <v>2216.6</v>
      </c>
      <c r="G53"/>
      <c r="H53"/>
      <c r="I53"/>
      <c r="J53"/>
      <c r="K53"/>
      <c r="L53"/>
      <c r="M53"/>
      <c r="N53"/>
      <c r="O53"/>
    </row>
    <row r="54" spans="1:15" ht="12.75" x14ac:dyDescent="0.2">
      <c r="A54" s="91" t="s">
        <v>43</v>
      </c>
      <c r="B54" s="91">
        <v>2017</v>
      </c>
      <c r="C54" s="91" t="s">
        <v>7</v>
      </c>
      <c r="D54" s="91" t="s">
        <v>12</v>
      </c>
      <c r="E54" s="463">
        <f>SUMIF('Reviews (by dept)'!A:A,Table69[[#This Row],[Title]],'Reviews (by dept)'!I:I)</f>
        <v>1661.4</v>
      </c>
      <c r="F54" s="463">
        <f>SUMIF('Reviews (by dept)'!A:A,Table69[[#This Row],[Title]],'Reviews (by dept)'!G:G)</f>
        <v>1661.4</v>
      </c>
      <c r="G54"/>
      <c r="H54"/>
      <c r="I54"/>
      <c r="J54"/>
      <c r="K54"/>
      <c r="L54"/>
      <c r="M54"/>
      <c r="N54"/>
      <c r="O54"/>
    </row>
    <row r="55" spans="1:15" ht="10.5" customHeight="1" x14ac:dyDescent="0.2">
      <c r="A55" s="91" t="s">
        <v>48</v>
      </c>
      <c r="B55" s="91">
        <v>2017</v>
      </c>
      <c r="C55" s="91" t="s">
        <v>63</v>
      </c>
      <c r="D55" s="91" t="s">
        <v>83</v>
      </c>
      <c r="E55" s="463">
        <f>SUMIF('Reviews (by dept)'!A:A,Table69[[#This Row],[Title]],'Reviews (by dept)'!I:I)</f>
        <v>56.699999999999996</v>
      </c>
      <c r="F55" s="463">
        <f>SUMIF('Reviews (by dept)'!A:A,Table69[[#This Row],[Title]],'Reviews (by dept)'!G:G)</f>
        <v>56.699999999999996</v>
      </c>
      <c r="G55"/>
      <c r="H55"/>
      <c r="I55"/>
      <c r="J55"/>
      <c r="K55"/>
      <c r="L55"/>
      <c r="M55"/>
      <c r="N55"/>
      <c r="O55"/>
    </row>
    <row r="56" spans="1:15" ht="12.75" x14ac:dyDescent="0.2">
      <c r="A56" s="91" t="s">
        <v>45</v>
      </c>
      <c r="B56" s="91">
        <v>2017</v>
      </c>
      <c r="C56" s="91" t="s">
        <v>7</v>
      </c>
      <c r="D56" s="91" t="s">
        <v>12</v>
      </c>
      <c r="E56" s="463">
        <f>SUMIF('Reviews (by dept)'!A:A,Table69[[#This Row],[Title]],'Reviews (by dept)'!I:I)</f>
        <v>464.89</v>
      </c>
      <c r="F56" s="463">
        <f>SUMIF('Reviews (by dept)'!A:A,Table69[[#This Row],[Title]],'Reviews (by dept)'!G:G)</f>
        <v>606</v>
      </c>
      <c r="G56"/>
      <c r="H56"/>
      <c r="I56"/>
      <c r="J56"/>
      <c r="K56"/>
      <c r="L56"/>
      <c r="M56"/>
      <c r="N56"/>
      <c r="O56"/>
    </row>
    <row r="57" spans="1:15" ht="12.75" x14ac:dyDescent="0.2">
      <c r="A57" s="92" t="s">
        <v>88</v>
      </c>
      <c r="B57" s="92">
        <v>2018</v>
      </c>
      <c r="C57" s="92" t="s">
        <v>16</v>
      </c>
      <c r="D57" s="92" t="s">
        <v>12</v>
      </c>
      <c r="E57" s="462">
        <f>SUMIF('Reviews (by dept)'!A:A,Table69[[#This Row],[Title]],'Reviews (by dept)'!I:I)</f>
        <v>750</v>
      </c>
      <c r="F57" s="462">
        <f>SUMIF('Reviews (by dept)'!A:A,Table69[[#This Row],[Title]],'Reviews (by dept)'!G:G)</f>
        <v>1300</v>
      </c>
      <c r="G57"/>
      <c r="H57"/>
      <c r="I57"/>
      <c r="J57"/>
      <c r="K57"/>
      <c r="L57"/>
      <c r="M57"/>
      <c r="N57"/>
      <c r="O57"/>
    </row>
    <row r="58" spans="1:15" ht="12.75" x14ac:dyDescent="0.2">
      <c r="A58" s="92" t="s">
        <v>69</v>
      </c>
      <c r="B58" s="92">
        <v>2018</v>
      </c>
      <c r="C58" s="92" t="s">
        <v>7</v>
      </c>
      <c r="D58" s="92" t="s">
        <v>12</v>
      </c>
      <c r="E58" s="462">
        <f>SUMIF('Reviews (by dept)'!A:A,Table69[[#This Row],[Title]],'Reviews (by dept)'!I:I)</f>
        <v>806.8</v>
      </c>
      <c r="F58" s="462">
        <f>SUMIF('Reviews (by dept)'!A:A,Table69[[#This Row],[Title]],'Reviews (by dept)'!G:G)</f>
        <v>806.8</v>
      </c>
      <c r="G58"/>
      <c r="H58"/>
      <c r="I58"/>
      <c r="J58"/>
      <c r="K58"/>
      <c r="L58"/>
      <c r="M58"/>
      <c r="N58"/>
      <c r="O58"/>
    </row>
    <row r="59" spans="1:15" ht="12.75" x14ac:dyDescent="0.2">
      <c r="A59" s="92" t="s">
        <v>36</v>
      </c>
      <c r="B59" s="92">
        <v>2018</v>
      </c>
      <c r="C59" s="92" t="s">
        <v>63</v>
      </c>
      <c r="D59" s="92" t="s">
        <v>12</v>
      </c>
      <c r="E59" s="462">
        <f>SUMIF('Reviews (by dept)'!A:A,Table69[[#This Row],[Title]],'Reviews (by dept)'!I:I)</f>
        <v>114.03</v>
      </c>
      <c r="F59" s="462">
        <f>SUMIF('Reviews (by dept)'!A:A,Table69[[#This Row],[Title]],'Reviews (by dept)'!G:G)</f>
        <v>114.03</v>
      </c>
      <c r="G59"/>
      <c r="H59"/>
      <c r="I59"/>
      <c r="J59"/>
      <c r="K59"/>
      <c r="L59"/>
      <c r="M59"/>
      <c r="N59"/>
      <c r="O59"/>
    </row>
    <row r="60" spans="1:15" ht="12.75" x14ac:dyDescent="0.2">
      <c r="A60" s="92" t="s">
        <v>65</v>
      </c>
      <c r="B60" s="92">
        <v>2018</v>
      </c>
      <c r="C60" s="92" t="s">
        <v>63</v>
      </c>
      <c r="D60" s="92" t="s">
        <v>12</v>
      </c>
      <c r="E60" s="462">
        <f>SUMIF('Reviews (by dept)'!A:A,Table69[[#This Row],[Title]],'Reviews (by dept)'!I:I)</f>
        <v>3649.1700000000005</v>
      </c>
      <c r="F60" s="462">
        <f>SUMIF('Reviews (by dept)'!A:A,Table69[[#This Row],[Title]],'Reviews (by dept)'!G:G)</f>
        <v>3649.1700000000005</v>
      </c>
      <c r="G60"/>
      <c r="H60"/>
      <c r="I60"/>
      <c r="J60"/>
      <c r="K60"/>
      <c r="L60"/>
      <c r="M60"/>
      <c r="N60"/>
      <c r="O60"/>
    </row>
    <row r="61" spans="1:15" ht="12.75" x14ac:dyDescent="0.2">
      <c r="A61" s="91" t="s">
        <v>60</v>
      </c>
      <c r="B61" s="91">
        <v>2018</v>
      </c>
      <c r="C61" s="91" t="s">
        <v>7</v>
      </c>
      <c r="D61" s="92" t="s">
        <v>12</v>
      </c>
      <c r="E61" s="462">
        <f>SUMIF('Reviews (by dept)'!A:A,Table69[[#This Row],[Title]],'Reviews (by dept)'!I:I)</f>
        <v>885.50000000000011</v>
      </c>
      <c r="F61" s="462">
        <f>SUMIF('Reviews (by dept)'!A:A,Table69[[#This Row],[Title]],'Reviews (by dept)'!G:G)</f>
        <v>1364.8</v>
      </c>
      <c r="G61"/>
      <c r="H61"/>
      <c r="I61"/>
      <c r="J61"/>
      <c r="K61"/>
      <c r="L61"/>
      <c r="M61"/>
      <c r="N61"/>
      <c r="O61"/>
    </row>
    <row r="62" spans="1:15" ht="12.75" x14ac:dyDescent="0.2">
      <c r="A62" s="91" t="s">
        <v>87</v>
      </c>
      <c r="B62" s="91">
        <v>2018</v>
      </c>
      <c r="C62" s="91" t="s">
        <v>7</v>
      </c>
      <c r="D62" s="91" t="s">
        <v>12</v>
      </c>
      <c r="E62" s="463">
        <f>SUMIF('Reviews (by dept)'!A:A,Table69[[#This Row],[Title]],'Reviews (by dept)'!I:I)</f>
        <v>1460</v>
      </c>
      <c r="F62" s="463">
        <f>SUMIF('Reviews (by dept)'!A:A,Table69[[#This Row],[Title]],'Reviews (by dept)'!G:G)</f>
        <v>3900</v>
      </c>
      <c r="G62"/>
      <c r="H62"/>
      <c r="I62"/>
      <c r="J62"/>
      <c r="K62"/>
      <c r="L62"/>
      <c r="M62"/>
      <c r="N62"/>
      <c r="O62"/>
    </row>
    <row r="63" spans="1:15" ht="12.75" x14ac:dyDescent="0.2">
      <c r="A63" s="91" t="s">
        <v>56</v>
      </c>
      <c r="B63" s="91">
        <v>2018</v>
      </c>
      <c r="C63" s="91" t="s">
        <v>16</v>
      </c>
      <c r="D63" s="91" t="s">
        <v>11</v>
      </c>
      <c r="E63" s="463">
        <f>SUMIF('Reviews (by dept)'!A:A,Table69[[#This Row],[Title]],'Reviews (by dept)'!I:I)</f>
        <v>158.89999999999998</v>
      </c>
      <c r="F63" s="463">
        <f>SUMIF('Reviews (by dept)'!A:A,Table69[[#This Row],[Title]],'Reviews (by dept)'!G:G)</f>
        <v>922.20000000000016</v>
      </c>
      <c r="G63"/>
      <c r="H63"/>
      <c r="I63"/>
      <c r="J63"/>
      <c r="K63"/>
      <c r="L63"/>
      <c r="M63"/>
      <c r="N63"/>
      <c r="O63"/>
    </row>
    <row r="64" spans="1:15" ht="12.75" x14ac:dyDescent="0.2">
      <c r="A64" s="91" t="s">
        <v>71</v>
      </c>
      <c r="B64" s="91">
        <v>2018</v>
      </c>
      <c r="C64" s="91" t="s">
        <v>7</v>
      </c>
      <c r="D64" s="91" t="s">
        <v>12</v>
      </c>
      <c r="E64" s="463">
        <f>SUMIF('Reviews (by dept)'!A:A,Table69[[#This Row],[Title]],'Reviews (by dept)'!I:I)</f>
        <v>1530.2</v>
      </c>
      <c r="F64" s="463">
        <f>SUMIF('Reviews (by dept)'!A:A,Table69[[#This Row],[Title]],'Reviews (by dept)'!G:G)</f>
        <v>1631</v>
      </c>
      <c r="G64"/>
      <c r="H64"/>
      <c r="I64"/>
      <c r="J64"/>
      <c r="K64"/>
      <c r="L64"/>
      <c r="M64"/>
      <c r="N64"/>
      <c r="O64"/>
    </row>
    <row r="65" spans="1:15" ht="12.75" x14ac:dyDescent="0.2">
      <c r="A65" s="91" t="s">
        <v>73</v>
      </c>
      <c r="B65" s="91">
        <v>2018</v>
      </c>
      <c r="C65" s="91" t="s">
        <v>7</v>
      </c>
      <c r="D65" s="91" t="s">
        <v>12</v>
      </c>
      <c r="E65" s="463">
        <f>SUMIF('Reviews (by dept)'!A:A,Table69[[#This Row],[Title]],'Reviews (by dept)'!I:I)</f>
        <v>489.59999999999997</v>
      </c>
      <c r="F65" s="463">
        <f>SUMIF('Reviews (by dept)'!A:A,Table69[[#This Row],[Title]],'Reviews (by dept)'!G:G)</f>
        <v>910</v>
      </c>
      <c r="G65"/>
      <c r="H65"/>
      <c r="I65"/>
      <c r="J65"/>
      <c r="K65"/>
      <c r="L65"/>
      <c r="M65"/>
      <c r="N65"/>
      <c r="O65"/>
    </row>
    <row r="66" spans="1:15" ht="12.75" x14ac:dyDescent="0.2">
      <c r="A66" s="90" t="s">
        <v>453</v>
      </c>
      <c r="B66" s="91">
        <v>2018</v>
      </c>
      <c r="C66" s="91" t="s">
        <v>7</v>
      </c>
      <c r="D66" s="91" t="s">
        <v>12</v>
      </c>
      <c r="E66" s="463">
        <f>SUMIF('Reviews (by dept)'!A:A,Table69[[#This Row],[Title]],'Reviews (by dept)'!I:I)</f>
        <v>183</v>
      </c>
      <c r="F66" s="463">
        <f>SUMIF('Reviews (by dept)'!A:A,Table69[[#This Row],[Title]],'Reviews (by dept)'!G:G)</f>
        <v>846</v>
      </c>
      <c r="G66" s="2"/>
      <c r="H66" s="2"/>
      <c r="I66"/>
      <c r="J66"/>
      <c r="K66"/>
      <c r="L66"/>
      <c r="M66"/>
      <c r="N66"/>
      <c r="O66"/>
    </row>
    <row r="67" spans="1:15" ht="15.75" customHeight="1" x14ac:dyDescent="0.2">
      <c r="A67"/>
      <c r="B67"/>
      <c r="C67"/>
      <c r="D67"/>
      <c r="F67"/>
      <c r="G67"/>
      <c r="H67"/>
      <c r="I67"/>
      <c r="J67"/>
      <c r="K67"/>
      <c r="L67"/>
      <c r="M67"/>
      <c r="N67"/>
      <c r="O67"/>
    </row>
    <row r="68" spans="1:15" ht="15.75" customHeight="1" x14ac:dyDescent="0.2">
      <c r="A68"/>
      <c r="B68"/>
      <c r="C68"/>
      <c r="D68"/>
      <c r="F68"/>
      <c r="G68"/>
      <c r="H68"/>
      <c r="I68"/>
      <c r="J68"/>
      <c r="K68"/>
      <c r="L68"/>
      <c r="M68"/>
      <c r="N68"/>
      <c r="O68"/>
    </row>
    <row r="69" spans="1:15" ht="15.75" customHeight="1" x14ac:dyDescent="0.2">
      <c r="A69"/>
      <c r="B69"/>
      <c r="C69"/>
      <c r="D69"/>
      <c r="F69"/>
      <c r="G69"/>
      <c r="H69"/>
      <c r="I69"/>
      <c r="J69"/>
      <c r="K69"/>
      <c r="L69"/>
      <c r="M69"/>
      <c r="N69"/>
      <c r="O69"/>
    </row>
    <row r="70" spans="1:15" ht="15.75" customHeight="1" x14ac:dyDescent="0.2">
      <c r="A70"/>
      <c r="B70"/>
      <c r="C70"/>
      <c r="D70"/>
      <c r="F70"/>
      <c r="G70"/>
      <c r="H70"/>
      <c r="I70"/>
      <c r="J70"/>
      <c r="K70"/>
      <c r="L70"/>
      <c r="M70"/>
      <c r="N70"/>
      <c r="O70"/>
    </row>
    <row r="71" spans="1:15" ht="15.75" customHeight="1" x14ac:dyDescent="0.2">
      <c r="A71"/>
      <c r="B71"/>
      <c r="C71"/>
      <c r="D71"/>
      <c r="F71"/>
      <c r="G71"/>
      <c r="H71"/>
      <c r="I71"/>
      <c r="J71"/>
      <c r="K71"/>
      <c r="L71"/>
      <c r="M71"/>
      <c r="N71"/>
      <c r="O71"/>
    </row>
    <row r="72" spans="1:15" ht="15.75" customHeight="1" x14ac:dyDescent="0.2">
      <c r="A72"/>
      <c r="B72"/>
      <c r="C72"/>
      <c r="D72"/>
      <c r="F72"/>
      <c r="G72"/>
      <c r="H72"/>
      <c r="I72"/>
      <c r="J72"/>
      <c r="K72"/>
      <c r="L72"/>
      <c r="M72"/>
      <c r="N72"/>
      <c r="O72"/>
    </row>
    <row r="73" spans="1:15" ht="15.75" customHeight="1" x14ac:dyDescent="0.2">
      <c r="A73"/>
      <c r="B73"/>
      <c r="C73"/>
      <c r="D73"/>
      <c r="F73"/>
      <c r="G73"/>
      <c r="H73"/>
      <c r="I73"/>
      <c r="J73"/>
      <c r="K73"/>
      <c r="L73"/>
      <c r="M73"/>
      <c r="N73"/>
      <c r="O73"/>
    </row>
    <row r="74" spans="1:15" ht="15.75" customHeight="1" x14ac:dyDescent="0.2">
      <c r="A74"/>
      <c r="B74"/>
      <c r="C74"/>
      <c r="D74"/>
      <c r="F74"/>
      <c r="G74"/>
      <c r="H74"/>
      <c r="I74"/>
      <c r="J74"/>
      <c r="K74"/>
      <c r="L74"/>
      <c r="M74"/>
      <c r="N74"/>
      <c r="O74"/>
    </row>
    <row r="75" spans="1:15" ht="15.75" customHeight="1" x14ac:dyDescent="0.2">
      <c r="A75"/>
      <c r="B75"/>
      <c r="C75"/>
      <c r="D75"/>
      <c r="F75"/>
      <c r="G75"/>
      <c r="H75"/>
      <c r="I75"/>
      <c r="J75"/>
      <c r="K75"/>
      <c r="L75"/>
      <c r="M75"/>
      <c r="N75"/>
      <c r="O75"/>
    </row>
    <row r="76" spans="1:15" ht="15.75" customHeight="1" x14ac:dyDescent="0.2">
      <c r="A76" s="4"/>
    </row>
    <row r="77" spans="1:15" ht="15.75" customHeight="1" x14ac:dyDescent="0.2">
      <c r="A77" s="4"/>
    </row>
    <row r="78" spans="1:15" ht="15.75" customHeight="1" x14ac:dyDescent="0.2">
      <c r="A78" s="4"/>
    </row>
    <row r="79" spans="1:15" ht="15.75" customHeight="1" x14ac:dyDescent="0.2">
      <c r="A79" s="4"/>
    </row>
    <row r="80" spans="1:15" ht="15.75" customHeight="1" x14ac:dyDescent="0.2">
      <c r="A80" s="4"/>
    </row>
    <row r="81" spans="1:1" ht="15.75" customHeight="1" x14ac:dyDescent="0.2">
      <c r="A81" s="4"/>
    </row>
    <row r="82" spans="1:1" ht="15.75" customHeight="1" x14ac:dyDescent="0.2">
      <c r="A82" s="4"/>
    </row>
    <row r="83" spans="1:1" ht="15.75" customHeight="1" x14ac:dyDescent="0.2">
      <c r="A83" s="4"/>
    </row>
    <row r="84" spans="1:1" ht="15.75" customHeight="1" x14ac:dyDescent="0.2">
      <c r="A84" s="4"/>
    </row>
    <row r="85" spans="1:1" ht="15.75" customHeight="1" x14ac:dyDescent="0.2">
      <c r="A85" s="4"/>
    </row>
    <row r="86" spans="1:1" ht="15.75" customHeight="1" x14ac:dyDescent="0.2">
      <c r="A86" s="4"/>
    </row>
    <row r="87" spans="1:1" ht="15.75" customHeight="1" x14ac:dyDescent="0.2">
      <c r="A87" s="4"/>
    </row>
    <row r="88" spans="1:1" ht="15.75" customHeight="1" x14ac:dyDescent="0.2">
      <c r="A88" s="4"/>
    </row>
    <row r="89" spans="1:1" ht="15.75" customHeight="1" x14ac:dyDescent="0.2">
      <c r="A89" s="4"/>
    </row>
    <row r="90" spans="1:1" ht="15.75" customHeight="1" x14ac:dyDescent="0.2">
      <c r="A90" s="4"/>
    </row>
    <row r="91" spans="1:1" ht="15.75" customHeight="1" x14ac:dyDescent="0.2">
      <c r="A91" s="4"/>
    </row>
    <row r="92" spans="1:1" ht="15.75" customHeight="1" x14ac:dyDescent="0.2">
      <c r="A92" s="4"/>
    </row>
    <row r="93" spans="1:1" ht="15.75" customHeight="1" x14ac:dyDescent="0.2">
      <c r="A93" s="4"/>
    </row>
    <row r="94" spans="1:1" ht="15.75" customHeight="1" x14ac:dyDescent="0.2">
      <c r="A94" s="4"/>
    </row>
    <row r="95" spans="1:1" ht="15.75" customHeight="1" x14ac:dyDescent="0.2">
      <c r="A95" s="4"/>
    </row>
    <row r="96" spans="1:1" ht="15.75" customHeight="1" x14ac:dyDescent="0.2">
      <c r="A96" s="4"/>
    </row>
    <row r="97" spans="1:1" ht="15.75" customHeight="1" x14ac:dyDescent="0.2">
      <c r="A97" s="4"/>
    </row>
    <row r="98" spans="1:1" ht="15.75" customHeight="1" x14ac:dyDescent="0.2">
      <c r="A98" s="4"/>
    </row>
    <row r="99" spans="1:1" ht="15.75" customHeight="1" x14ac:dyDescent="0.2">
      <c r="A99" s="4"/>
    </row>
    <row r="100" spans="1:1" ht="15.75" customHeight="1" x14ac:dyDescent="0.2">
      <c r="A100" s="4"/>
    </row>
    <row r="101" spans="1:1" ht="15.75" customHeight="1" x14ac:dyDescent="0.2">
      <c r="A101" s="4"/>
    </row>
    <row r="102" spans="1:1" ht="15.75" customHeight="1" x14ac:dyDescent="0.2">
      <c r="A102" s="4"/>
    </row>
    <row r="103" spans="1:1" ht="15.75" customHeight="1" x14ac:dyDescent="0.2">
      <c r="A103" s="4"/>
    </row>
    <row r="104" spans="1:1" ht="15.75" customHeight="1" x14ac:dyDescent="0.2">
      <c r="A104" s="4"/>
    </row>
    <row r="105" spans="1:1" ht="15.75" customHeight="1" x14ac:dyDescent="0.2">
      <c r="A105" s="4"/>
    </row>
    <row r="106" spans="1:1" ht="15.75" customHeight="1" x14ac:dyDescent="0.2">
      <c r="A106" s="4"/>
    </row>
    <row r="107" spans="1:1" ht="15.75" customHeight="1" x14ac:dyDescent="0.2">
      <c r="A107" s="4"/>
    </row>
    <row r="108" spans="1:1" ht="15.75" customHeight="1" x14ac:dyDescent="0.2">
      <c r="A108" s="4"/>
    </row>
    <row r="109" spans="1:1" ht="15.75" customHeight="1" x14ac:dyDescent="0.2">
      <c r="A109" s="4"/>
    </row>
    <row r="110" spans="1:1" ht="15.75" customHeight="1" x14ac:dyDescent="0.2">
      <c r="A110" s="4"/>
    </row>
    <row r="111" spans="1:1" ht="15.75" customHeight="1" x14ac:dyDescent="0.2">
      <c r="A111" s="4"/>
    </row>
    <row r="112" spans="1:1" ht="15.75" customHeight="1" x14ac:dyDescent="0.2">
      <c r="A112" s="4"/>
    </row>
    <row r="113" spans="1:1" ht="15.75" customHeight="1" x14ac:dyDescent="0.2">
      <c r="A113" s="4"/>
    </row>
    <row r="114" spans="1:1" ht="15.75" customHeight="1" x14ac:dyDescent="0.2">
      <c r="A114" s="4"/>
    </row>
    <row r="115" spans="1:1" ht="15.75" customHeight="1" x14ac:dyDescent="0.2">
      <c r="A115" s="4"/>
    </row>
    <row r="116" spans="1:1" ht="15.75" customHeight="1" x14ac:dyDescent="0.2">
      <c r="A116" s="4"/>
    </row>
    <row r="117" spans="1:1" ht="15.75" customHeight="1" x14ac:dyDescent="0.2">
      <c r="A117" s="4"/>
    </row>
    <row r="118" spans="1:1" ht="15.75" customHeight="1" x14ac:dyDescent="0.2">
      <c r="A118" s="4"/>
    </row>
    <row r="119" spans="1:1" ht="15.75" customHeight="1" x14ac:dyDescent="0.2">
      <c r="A119" s="4"/>
    </row>
    <row r="120" spans="1:1" ht="15.75" customHeight="1" x14ac:dyDescent="0.2">
      <c r="A120" s="4"/>
    </row>
    <row r="121" spans="1:1" ht="15.75" customHeight="1" x14ac:dyDescent="0.2">
      <c r="A121" s="4"/>
    </row>
    <row r="122" spans="1:1" ht="15.75" customHeight="1" x14ac:dyDescent="0.2">
      <c r="A122" s="4"/>
    </row>
    <row r="123" spans="1:1" ht="15.75" customHeight="1" x14ac:dyDescent="0.2">
      <c r="A123" s="4"/>
    </row>
    <row r="124" spans="1:1" ht="15.75" customHeight="1" x14ac:dyDescent="0.2">
      <c r="A124" s="4"/>
    </row>
    <row r="125" spans="1:1" ht="15.75" customHeight="1" x14ac:dyDescent="0.2">
      <c r="A125" s="4"/>
    </row>
    <row r="126" spans="1:1" ht="15.75" customHeight="1" x14ac:dyDescent="0.2">
      <c r="A126" s="4"/>
    </row>
    <row r="127" spans="1:1" ht="15.75" customHeight="1" x14ac:dyDescent="0.2">
      <c r="A127" s="4"/>
    </row>
    <row r="128" spans="1:1" ht="15.75" customHeight="1" x14ac:dyDescent="0.2">
      <c r="A128" s="4"/>
    </row>
    <row r="129" spans="1:1" ht="15.75" customHeight="1" x14ac:dyDescent="0.2">
      <c r="A129" s="4"/>
    </row>
    <row r="130" spans="1:1" ht="15.75" customHeight="1" x14ac:dyDescent="0.2">
      <c r="A130" s="4"/>
    </row>
    <row r="131" spans="1:1" ht="15.75" customHeight="1" x14ac:dyDescent="0.2">
      <c r="A131" s="4"/>
    </row>
    <row r="132" spans="1:1" ht="15.75" customHeight="1" x14ac:dyDescent="0.2">
      <c r="A132" s="4"/>
    </row>
    <row r="133" spans="1:1" ht="15.75" customHeight="1" x14ac:dyDescent="0.2">
      <c r="A133" s="4"/>
    </row>
    <row r="134" spans="1:1" ht="15.75" customHeight="1" x14ac:dyDescent="0.2">
      <c r="A134" s="4"/>
    </row>
    <row r="135" spans="1:1" ht="15.75" customHeight="1" x14ac:dyDescent="0.2">
      <c r="A135" s="4"/>
    </row>
    <row r="136" spans="1:1" ht="15.75" customHeight="1" x14ac:dyDescent="0.2">
      <c r="A136" s="4"/>
    </row>
    <row r="137" spans="1:1" ht="15.75" customHeight="1" x14ac:dyDescent="0.2">
      <c r="A137" s="4"/>
    </row>
    <row r="138" spans="1:1" ht="15.75" customHeight="1" x14ac:dyDescent="0.2">
      <c r="A138" s="4"/>
    </row>
    <row r="139" spans="1:1" ht="15.75" customHeight="1" x14ac:dyDescent="0.2">
      <c r="A139" s="4"/>
    </row>
    <row r="140" spans="1:1" ht="15.75" customHeight="1" x14ac:dyDescent="0.2">
      <c r="A140" s="4"/>
    </row>
    <row r="141" spans="1:1" ht="15.75" customHeight="1" x14ac:dyDescent="0.2">
      <c r="A141" s="4"/>
    </row>
    <row r="142" spans="1:1" ht="15.75" customHeight="1" x14ac:dyDescent="0.2">
      <c r="A142" s="4"/>
    </row>
    <row r="143" spans="1:1" ht="15.75" customHeight="1" x14ac:dyDescent="0.2">
      <c r="A143" s="4"/>
    </row>
    <row r="144" spans="1:1" ht="15.75" customHeight="1" x14ac:dyDescent="0.2">
      <c r="A144" s="4"/>
    </row>
    <row r="145" spans="1:1" ht="15.75" customHeight="1" x14ac:dyDescent="0.2">
      <c r="A145" s="4"/>
    </row>
    <row r="146" spans="1:1" ht="15.75" customHeight="1" x14ac:dyDescent="0.2">
      <c r="A146" s="4"/>
    </row>
    <row r="147" spans="1:1" ht="15.75" customHeight="1" x14ac:dyDescent="0.2">
      <c r="A147" s="4"/>
    </row>
    <row r="148" spans="1:1" ht="15.75" customHeight="1" x14ac:dyDescent="0.2">
      <c r="A148" s="4"/>
    </row>
    <row r="149" spans="1:1" ht="15.75" customHeight="1" x14ac:dyDescent="0.2">
      <c r="A149" s="4"/>
    </row>
    <row r="150" spans="1:1" ht="15.75" customHeight="1" x14ac:dyDescent="0.2">
      <c r="A150" s="4"/>
    </row>
    <row r="151" spans="1:1" ht="15.75" customHeight="1" x14ac:dyDescent="0.2">
      <c r="A151" s="4"/>
    </row>
    <row r="152" spans="1:1" ht="15.75" customHeight="1" x14ac:dyDescent="0.2">
      <c r="A152" s="4"/>
    </row>
    <row r="153" spans="1:1" ht="15.75" customHeight="1" x14ac:dyDescent="0.2">
      <c r="A153" s="4"/>
    </row>
    <row r="154" spans="1:1" ht="15.75" customHeight="1" x14ac:dyDescent="0.2">
      <c r="A154" s="4"/>
    </row>
    <row r="155" spans="1:1" ht="15.75" customHeight="1" x14ac:dyDescent="0.2">
      <c r="A155" s="4"/>
    </row>
    <row r="156" spans="1:1" ht="15.75" customHeight="1" x14ac:dyDescent="0.2">
      <c r="A156" s="4"/>
    </row>
    <row r="157" spans="1:1" ht="15.75" customHeight="1" x14ac:dyDescent="0.2">
      <c r="A157" s="4"/>
    </row>
    <row r="158" spans="1:1" ht="15.75" customHeight="1" x14ac:dyDescent="0.2">
      <c r="A158" s="4"/>
    </row>
    <row r="159" spans="1:1" ht="15.75" customHeight="1" x14ac:dyDescent="0.2">
      <c r="A159" s="4"/>
    </row>
    <row r="160" spans="1:1" ht="15.75" customHeight="1" x14ac:dyDescent="0.2">
      <c r="A160" s="4"/>
    </row>
    <row r="161" spans="1:1" ht="15.75" customHeight="1" x14ac:dyDescent="0.2">
      <c r="A161" s="4"/>
    </row>
    <row r="162" spans="1:1" ht="15.75" customHeight="1" x14ac:dyDescent="0.2">
      <c r="A162" s="4"/>
    </row>
    <row r="163" spans="1:1" ht="15.75" customHeight="1" x14ac:dyDescent="0.2">
      <c r="A163" s="4"/>
    </row>
    <row r="164" spans="1:1" ht="15.75" customHeight="1" x14ac:dyDescent="0.2">
      <c r="A164" s="4"/>
    </row>
    <row r="165" spans="1:1" ht="15.75" customHeight="1" x14ac:dyDescent="0.2">
      <c r="A165" s="4"/>
    </row>
    <row r="166" spans="1:1" ht="15.75" customHeight="1" x14ac:dyDescent="0.2">
      <c r="A166" s="4"/>
    </row>
    <row r="167" spans="1:1" ht="15.75" customHeight="1" x14ac:dyDescent="0.2">
      <c r="A167" s="4"/>
    </row>
    <row r="168" spans="1:1" ht="15.75" customHeight="1" x14ac:dyDescent="0.2">
      <c r="A168" s="4"/>
    </row>
    <row r="169" spans="1:1" ht="15.75" customHeight="1" x14ac:dyDescent="0.2">
      <c r="A169" s="4"/>
    </row>
    <row r="170" spans="1:1" ht="15.75" customHeight="1" x14ac:dyDescent="0.2">
      <c r="A170" s="4"/>
    </row>
    <row r="171" spans="1:1" ht="15.75" customHeight="1" x14ac:dyDescent="0.2">
      <c r="A171" s="4"/>
    </row>
    <row r="172" spans="1:1" ht="15.75" customHeight="1" x14ac:dyDescent="0.2">
      <c r="A172" s="4"/>
    </row>
    <row r="173" spans="1:1" ht="15.75" customHeight="1" x14ac:dyDescent="0.2">
      <c r="A173" s="4"/>
    </row>
    <row r="174" spans="1:1" ht="15.75" customHeight="1" x14ac:dyDescent="0.2">
      <c r="A174" s="4"/>
    </row>
    <row r="175" spans="1:1" ht="15.75" customHeight="1" x14ac:dyDescent="0.2">
      <c r="A175" s="4"/>
    </row>
    <row r="176" spans="1:1" ht="15.75" customHeight="1" x14ac:dyDescent="0.2">
      <c r="A176" s="4"/>
    </row>
    <row r="177" spans="1:1" ht="15.75" customHeight="1" x14ac:dyDescent="0.2">
      <c r="A177" s="4"/>
    </row>
    <row r="178" spans="1:1" ht="15.75" customHeight="1" x14ac:dyDescent="0.2">
      <c r="A178" s="4"/>
    </row>
    <row r="179" spans="1:1" ht="15.75" customHeight="1" x14ac:dyDescent="0.2">
      <c r="A179" s="4"/>
    </row>
    <row r="180" spans="1:1" ht="15.75" customHeight="1" x14ac:dyDescent="0.2">
      <c r="A180" s="4"/>
    </row>
    <row r="181" spans="1:1" ht="15.75" customHeight="1" x14ac:dyDescent="0.2">
      <c r="A181" s="4"/>
    </row>
    <row r="182" spans="1:1" ht="15.75" customHeight="1" x14ac:dyDescent="0.2">
      <c r="A182" s="4"/>
    </row>
    <row r="183" spans="1:1" ht="15.75" customHeight="1" x14ac:dyDescent="0.2">
      <c r="A183" s="4"/>
    </row>
    <row r="184" spans="1:1" ht="15.75" customHeight="1" x14ac:dyDescent="0.2">
      <c r="A184" s="4"/>
    </row>
    <row r="185" spans="1:1" ht="15.75" customHeight="1" x14ac:dyDescent="0.2">
      <c r="A185" s="4"/>
    </row>
    <row r="186" spans="1:1" ht="15.75" customHeight="1" x14ac:dyDescent="0.2">
      <c r="A186" s="4"/>
    </row>
    <row r="187" spans="1:1" ht="15.75" customHeight="1" x14ac:dyDescent="0.2">
      <c r="A187" s="4"/>
    </row>
    <row r="188" spans="1:1" ht="15.75" customHeight="1" x14ac:dyDescent="0.2">
      <c r="A188" s="4"/>
    </row>
    <row r="189" spans="1:1" ht="15.75" customHeight="1" x14ac:dyDescent="0.2">
      <c r="A189" s="4"/>
    </row>
    <row r="190" spans="1:1" ht="15.75" customHeight="1" x14ac:dyDescent="0.2">
      <c r="A190" s="4"/>
    </row>
    <row r="191" spans="1:1" ht="15.75" customHeight="1" x14ac:dyDescent="0.2">
      <c r="A191" s="4"/>
    </row>
    <row r="192" spans="1:1" ht="15.75" customHeight="1" x14ac:dyDescent="0.2">
      <c r="A192" s="4"/>
    </row>
    <row r="193" spans="1:1" ht="15.75" customHeight="1" x14ac:dyDescent="0.2">
      <c r="A193" s="4"/>
    </row>
    <row r="194" spans="1:1" ht="15.75" customHeight="1" x14ac:dyDescent="0.2">
      <c r="A194" s="4"/>
    </row>
    <row r="195" spans="1:1" ht="15.75" customHeight="1" x14ac:dyDescent="0.2">
      <c r="A195" s="4"/>
    </row>
    <row r="196" spans="1:1" ht="15.75" customHeight="1" x14ac:dyDescent="0.2">
      <c r="A196" s="4"/>
    </row>
    <row r="197" spans="1:1" ht="15.75" customHeight="1" x14ac:dyDescent="0.2">
      <c r="A197" s="4"/>
    </row>
    <row r="198" spans="1:1" ht="15.75" customHeight="1" x14ac:dyDescent="0.2">
      <c r="A198" s="4"/>
    </row>
    <row r="199" spans="1:1" ht="15.75" customHeight="1" x14ac:dyDescent="0.2">
      <c r="A199" s="4"/>
    </row>
    <row r="200" spans="1:1" ht="15.75" customHeight="1" x14ac:dyDescent="0.2">
      <c r="A200" s="4"/>
    </row>
    <row r="201" spans="1:1" ht="15.75" customHeight="1" x14ac:dyDescent="0.2">
      <c r="A201" s="4"/>
    </row>
    <row r="202" spans="1:1" ht="15.75" customHeight="1" x14ac:dyDescent="0.2">
      <c r="A202" s="4"/>
    </row>
    <row r="203" spans="1:1" ht="15.75" customHeight="1" x14ac:dyDescent="0.2">
      <c r="A203" s="4"/>
    </row>
    <row r="204" spans="1:1" ht="15.75" customHeight="1" x14ac:dyDescent="0.2">
      <c r="A204" s="4"/>
    </row>
    <row r="205" spans="1:1" ht="15.75" customHeight="1" x14ac:dyDescent="0.2">
      <c r="A205" s="4"/>
    </row>
    <row r="206" spans="1:1" ht="15.75" customHeight="1" x14ac:dyDescent="0.2">
      <c r="A206" s="4"/>
    </row>
    <row r="207" spans="1:1" ht="15.75" customHeight="1" x14ac:dyDescent="0.2">
      <c r="A207" s="4"/>
    </row>
    <row r="208" spans="1:1" ht="15.75" customHeight="1" x14ac:dyDescent="0.2">
      <c r="A208" s="4"/>
    </row>
    <row r="209" spans="1:1" ht="15.75" customHeight="1" x14ac:dyDescent="0.2">
      <c r="A209" s="4"/>
    </row>
    <row r="210" spans="1:1" ht="15.75" customHeight="1" x14ac:dyDescent="0.2">
      <c r="A210" s="4"/>
    </row>
    <row r="211" spans="1:1" ht="15.75" customHeight="1" x14ac:dyDescent="0.2">
      <c r="A211" s="4"/>
    </row>
    <row r="212" spans="1:1" ht="15.75" customHeight="1" x14ac:dyDescent="0.2">
      <c r="A212" s="4"/>
    </row>
    <row r="213" spans="1:1" ht="15.75" customHeight="1" x14ac:dyDescent="0.2">
      <c r="A213" s="4"/>
    </row>
    <row r="214" spans="1:1" ht="15.75" customHeight="1" x14ac:dyDescent="0.2">
      <c r="A214" s="4"/>
    </row>
    <row r="215" spans="1:1" ht="15.75" customHeight="1" x14ac:dyDescent="0.2">
      <c r="A215" s="4"/>
    </row>
    <row r="216" spans="1:1" ht="15.75" customHeight="1" x14ac:dyDescent="0.2">
      <c r="A216" s="4"/>
    </row>
    <row r="217" spans="1:1" ht="15.75" customHeight="1" x14ac:dyDescent="0.2">
      <c r="A217" s="4"/>
    </row>
    <row r="218" spans="1:1" ht="15.75" customHeight="1" x14ac:dyDescent="0.2">
      <c r="A218" s="4"/>
    </row>
    <row r="219" spans="1:1" ht="15.75" customHeight="1" x14ac:dyDescent="0.2">
      <c r="A219" s="4"/>
    </row>
    <row r="220" spans="1:1" ht="15.75" customHeight="1" x14ac:dyDescent="0.2">
      <c r="A220" s="4"/>
    </row>
    <row r="221" spans="1:1" ht="15.75" customHeight="1" x14ac:dyDescent="0.2">
      <c r="A221" s="4"/>
    </row>
    <row r="222" spans="1:1" ht="15.75" customHeight="1" x14ac:dyDescent="0.2">
      <c r="A222" s="4"/>
    </row>
    <row r="223" spans="1:1" ht="15.75" customHeight="1" x14ac:dyDescent="0.2">
      <c r="A223" s="4"/>
    </row>
    <row r="224" spans="1:1" ht="15.75" customHeight="1" x14ac:dyDescent="0.2">
      <c r="A224" s="4"/>
    </row>
    <row r="225" spans="1:1" ht="15.75" customHeight="1" x14ac:dyDescent="0.2">
      <c r="A225" s="4"/>
    </row>
    <row r="226" spans="1:1" ht="15.75" customHeight="1" x14ac:dyDescent="0.2">
      <c r="A226" s="4"/>
    </row>
    <row r="227" spans="1:1" ht="15.75" customHeight="1" x14ac:dyDescent="0.2">
      <c r="A227" s="4"/>
    </row>
    <row r="228" spans="1:1" ht="15.75" customHeight="1" x14ac:dyDescent="0.2">
      <c r="A228" s="4"/>
    </row>
    <row r="229" spans="1:1" ht="15.75" customHeight="1" x14ac:dyDescent="0.2">
      <c r="A229" s="4"/>
    </row>
    <row r="230" spans="1:1" ht="15.75" customHeight="1" x14ac:dyDescent="0.2">
      <c r="A230" s="4"/>
    </row>
    <row r="231" spans="1:1" ht="15.75" customHeight="1" x14ac:dyDescent="0.2">
      <c r="A231" s="4"/>
    </row>
    <row r="232" spans="1:1" ht="15.75" customHeight="1" x14ac:dyDescent="0.2">
      <c r="A232" s="4"/>
    </row>
    <row r="233" spans="1:1" ht="15.75" customHeight="1" x14ac:dyDescent="0.2">
      <c r="A233" s="4"/>
    </row>
    <row r="234" spans="1:1" ht="15.75" customHeight="1" x14ac:dyDescent="0.2">
      <c r="A234" s="4"/>
    </row>
    <row r="235" spans="1:1" ht="15.75" customHeight="1" x14ac:dyDescent="0.2">
      <c r="A235" s="4"/>
    </row>
    <row r="236" spans="1:1" ht="15.75" customHeight="1" x14ac:dyDescent="0.2">
      <c r="A236" s="4"/>
    </row>
    <row r="237" spans="1:1" ht="15.75" customHeight="1" x14ac:dyDescent="0.2">
      <c r="A237" s="4"/>
    </row>
    <row r="238" spans="1:1" ht="15.75" customHeight="1" x14ac:dyDescent="0.2">
      <c r="A238" s="4"/>
    </row>
    <row r="239" spans="1:1" ht="15.75" customHeight="1" x14ac:dyDescent="0.2">
      <c r="A239" s="4"/>
    </row>
    <row r="240" spans="1:1" ht="15.75" customHeight="1" x14ac:dyDescent="0.2">
      <c r="A240" s="4"/>
    </row>
    <row r="241" spans="1:1" ht="15.75" customHeight="1" x14ac:dyDescent="0.2">
      <c r="A241" s="4"/>
    </row>
    <row r="242" spans="1:1" ht="15.75" customHeight="1" x14ac:dyDescent="0.2">
      <c r="A242" s="4"/>
    </row>
    <row r="243" spans="1:1" ht="15.75" customHeight="1" x14ac:dyDescent="0.2">
      <c r="A243" s="4"/>
    </row>
    <row r="244" spans="1:1" ht="15.75" customHeight="1" x14ac:dyDescent="0.2">
      <c r="A244" s="4"/>
    </row>
    <row r="245" spans="1:1" ht="15.75" customHeight="1" x14ac:dyDescent="0.2">
      <c r="A245" s="4"/>
    </row>
    <row r="246" spans="1:1" ht="15.75" customHeight="1" x14ac:dyDescent="0.2">
      <c r="A246" s="4"/>
    </row>
    <row r="247" spans="1:1" ht="15.75" customHeight="1" x14ac:dyDescent="0.2">
      <c r="A247" s="4"/>
    </row>
    <row r="248" spans="1:1" ht="15.75" customHeight="1" x14ac:dyDescent="0.2">
      <c r="A248" s="4"/>
    </row>
    <row r="249" spans="1:1" ht="15.75" customHeight="1" x14ac:dyDescent="0.2">
      <c r="A249" s="4"/>
    </row>
    <row r="250" spans="1:1" ht="15.75" customHeight="1" x14ac:dyDescent="0.2">
      <c r="A250" s="4"/>
    </row>
    <row r="251" spans="1:1" ht="15.75" customHeight="1" x14ac:dyDescent="0.2">
      <c r="A251" s="4"/>
    </row>
    <row r="252" spans="1:1" ht="15.75" customHeight="1" x14ac:dyDescent="0.2">
      <c r="A252" s="4"/>
    </row>
    <row r="253" spans="1:1" ht="15.75" customHeight="1" x14ac:dyDescent="0.2">
      <c r="A253" s="4"/>
    </row>
    <row r="254" spans="1:1" ht="15.75" customHeight="1" x14ac:dyDescent="0.2">
      <c r="A254" s="4"/>
    </row>
    <row r="255" spans="1:1" ht="15.75" customHeight="1" x14ac:dyDescent="0.2">
      <c r="A255" s="4"/>
    </row>
    <row r="256" spans="1:1" ht="15.75" customHeight="1" x14ac:dyDescent="0.2">
      <c r="A256" s="4"/>
    </row>
    <row r="257" spans="1:1" ht="15.75" customHeight="1" x14ac:dyDescent="0.2">
      <c r="A257" s="4"/>
    </row>
    <row r="258" spans="1:1" ht="15.75" customHeight="1" x14ac:dyDescent="0.2">
      <c r="A258" s="4"/>
    </row>
    <row r="259" spans="1:1" ht="15.75" customHeight="1" x14ac:dyDescent="0.2">
      <c r="A259" s="4"/>
    </row>
    <row r="260" spans="1:1" ht="15.75" customHeight="1" x14ac:dyDescent="0.2">
      <c r="A260" s="4"/>
    </row>
    <row r="261" spans="1:1" ht="15.75" customHeight="1" x14ac:dyDescent="0.2">
      <c r="A261" s="4"/>
    </row>
    <row r="262" spans="1:1" ht="15.75" customHeight="1" x14ac:dyDescent="0.2">
      <c r="A262" s="4"/>
    </row>
    <row r="263" spans="1:1" ht="15.75" customHeight="1" x14ac:dyDescent="0.2">
      <c r="A263" s="4"/>
    </row>
    <row r="264" spans="1:1" ht="15.75" customHeight="1" x14ac:dyDescent="0.2">
      <c r="A264" s="4"/>
    </row>
    <row r="265" spans="1:1" ht="15.75" customHeight="1" x14ac:dyDescent="0.2">
      <c r="A265" s="4"/>
    </row>
    <row r="266" spans="1:1" ht="15.75" customHeight="1" x14ac:dyDescent="0.2">
      <c r="A266" s="4"/>
    </row>
    <row r="267" spans="1:1" ht="15.75" customHeight="1" x14ac:dyDescent="0.2">
      <c r="A267" s="4"/>
    </row>
    <row r="268" spans="1:1" ht="15.75" customHeight="1" x14ac:dyDescent="0.2">
      <c r="A268" s="4"/>
    </row>
    <row r="269" spans="1:1" ht="15.75" customHeight="1" x14ac:dyDescent="0.2">
      <c r="A269" s="4"/>
    </row>
    <row r="270" spans="1:1" ht="15.75" customHeight="1" x14ac:dyDescent="0.2">
      <c r="A270" s="4"/>
    </row>
    <row r="271" spans="1:1" ht="15.75" customHeight="1" x14ac:dyDescent="0.2">
      <c r="A271" s="4"/>
    </row>
    <row r="272" spans="1:1" ht="15.75" customHeight="1" x14ac:dyDescent="0.2">
      <c r="A272" s="4"/>
    </row>
    <row r="273" spans="1:1" ht="15.75" customHeight="1" x14ac:dyDescent="0.2">
      <c r="A273" s="4"/>
    </row>
    <row r="274" spans="1:1" ht="15.75" customHeight="1" x14ac:dyDescent="0.2">
      <c r="A274" s="4"/>
    </row>
    <row r="275" spans="1:1" ht="15.75" customHeight="1" x14ac:dyDescent="0.2">
      <c r="A275" s="4"/>
    </row>
    <row r="276" spans="1:1" ht="15.75" customHeight="1" x14ac:dyDescent="0.2">
      <c r="A276" s="4"/>
    </row>
    <row r="277" spans="1:1" ht="15.75" customHeight="1" x14ac:dyDescent="0.2">
      <c r="A277" s="4"/>
    </row>
    <row r="278" spans="1:1" ht="15.75" customHeight="1" x14ac:dyDescent="0.2">
      <c r="A278" s="4"/>
    </row>
    <row r="279" spans="1:1" ht="15.75" customHeight="1" x14ac:dyDescent="0.2">
      <c r="A279" s="4"/>
    </row>
    <row r="280" spans="1:1" ht="15.75" customHeight="1" x14ac:dyDescent="0.2">
      <c r="A280" s="4"/>
    </row>
    <row r="281" spans="1:1" ht="15.75" customHeight="1" x14ac:dyDescent="0.2">
      <c r="A281" s="4"/>
    </row>
    <row r="282" spans="1:1" ht="15.75" customHeight="1" x14ac:dyDescent="0.2">
      <c r="A282" s="4"/>
    </row>
    <row r="283" spans="1:1" ht="15.75" customHeight="1" x14ac:dyDescent="0.2">
      <c r="A283" s="4"/>
    </row>
    <row r="284" spans="1:1" ht="15.75" customHeight="1" x14ac:dyDescent="0.2">
      <c r="A284" s="4"/>
    </row>
    <row r="285" spans="1:1" ht="15.75" customHeight="1" x14ac:dyDescent="0.2">
      <c r="A285" s="4"/>
    </row>
    <row r="286" spans="1:1" ht="15.75" customHeight="1" x14ac:dyDescent="0.2">
      <c r="A286" s="4"/>
    </row>
    <row r="287" spans="1:1" ht="15.75" customHeight="1" x14ac:dyDescent="0.2">
      <c r="A287" s="4"/>
    </row>
    <row r="288" spans="1:1" ht="15.75" customHeight="1" x14ac:dyDescent="0.2">
      <c r="A288" s="4"/>
    </row>
    <row r="289" spans="1:1" ht="15.75" customHeight="1" x14ac:dyDescent="0.2">
      <c r="A289" s="4"/>
    </row>
    <row r="290" spans="1:1" ht="15.75" customHeight="1" x14ac:dyDescent="0.2">
      <c r="A290" s="4"/>
    </row>
    <row r="291" spans="1:1" ht="15.75" customHeight="1" x14ac:dyDescent="0.2">
      <c r="A291" s="4"/>
    </row>
    <row r="292" spans="1:1" ht="15.75" customHeight="1" x14ac:dyDescent="0.2">
      <c r="A292" s="4"/>
    </row>
    <row r="293" spans="1:1" ht="15.75" customHeight="1" x14ac:dyDescent="0.2">
      <c r="A293" s="4"/>
    </row>
    <row r="294" spans="1:1" ht="15.75" customHeight="1" x14ac:dyDescent="0.2">
      <c r="A294" s="4"/>
    </row>
    <row r="295" spans="1:1" ht="15.75" customHeight="1" x14ac:dyDescent="0.2">
      <c r="A295" s="4"/>
    </row>
    <row r="296" spans="1:1" ht="15.75" customHeight="1" x14ac:dyDescent="0.2">
      <c r="A296" s="4"/>
    </row>
    <row r="297" spans="1:1" ht="15.75" customHeight="1" x14ac:dyDescent="0.2">
      <c r="A297" s="4"/>
    </row>
    <row r="298" spans="1:1" ht="15.75" customHeight="1" x14ac:dyDescent="0.2">
      <c r="A298" s="4"/>
    </row>
    <row r="299" spans="1:1" ht="15.75" customHeight="1" x14ac:dyDescent="0.2">
      <c r="A299" s="4"/>
    </row>
    <row r="300" spans="1:1" ht="15.75" customHeight="1" x14ac:dyDescent="0.2">
      <c r="A300" s="4"/>
    </row>
    <row r="301" spans="1:1" ht="15.75" customHeight="1" x14ac:dyDescent="0.2">
      <c r="A301" s="4"/>
    </row>
    <row r="302" spans="1:1" ht="15.75" customHeight="1" x14ac:dyDescent="0.2">
      <c r="A302" s="4"/>
    </row>
    <row r="303" spans="1:1" ht="15.75" customHeight="1" x14ac:dyDescent="0.2">
      <c r="A303" s="4"/>
    </row>
    <row r="304" spans="1:1" ht="15.75" customHeight="1" x14ac:dyDescent="0.2">
      <c r="A304" s="4"/>
    </row>
    <row r="305" spans="1:1" ht="15.75" customHeight="1" x14ac:dyDescent="0.2">
      <c r="A305" s="4"/>
    </row>
    <row r="306" spans="1:1" ht="15.75" customHeight="1" x14ac:dyDescent="0.2">
      <c r="A306" s="4"/>
    </row>
    <row r="307" spans="1:1" ht="15.75" customHeight="1" x14ac:dyDescent="0.2">
      <c r="A307" s="4"/>
    </row>
    <row r="308" spans="1:1" ht="15.75" customHeight="1" x14ac:dyDescent="0.2">
      <c r="A308" s="4"/>
    </row>
    <row r="309" spans="1:1" ht="15.75" customHeight="1" x14ac:dyDescent="0.2">
      <c r="A309" s="4"/>
    </row>
    <row r="310" spans="1:1" ht="15.75" customHeight="1" x14ac:dyDescent="0.2">
      <c r="A310" s="4"/>
    </row>
    <row r="311" spans="1:1" ht="15.75" customHeight="1" x14ac:dyDescent="0.2">
      <c r="A311" s="4"/>
    </row>
    <row r="312" spans="1:1" ht="15.75" customHeight="1" x14ac:dyDescent="0.2">
      <c r="A312" s="4"/>
    </row>
    <row r="313" spans="1:1" ht="15.75" customHeight="1" x14ac:dyDescent="0.2">
      <c r="A313" s="4"/>
    </row>
    <row r="314" spans="1:1" ht="15.75" customHeight="1" x14ac:dyDescent="0.2">
      <c r="A314" s="4"/>
    </row>
    <row r="315" spans="1:1" ht="15.75" customHeight="1" x14ac:dyDescent="0.2">
      <c r="A315" s="4"/>
    </row>
    <row r="316" spans="1:1" ht="15.75" customHeight="1" x14ac:dyDescent="0.2">
      <c r="A316" s="4"/>
    </row>
    <row r="317" spans="1:1" ht="15.75" customHeight="1" x14ac:dyDescent="0.2">
      <c r="A317" s="4"/>
    </row>
    <row r="318" spans="1:1" ht="15.75" customHeight="1" x14ac:dyDescent="0.2">
      <c r="A318" s="4"/>
    </row>
    <row r="319" spans="1:1" ht="15.75" customHeight="1" x14ac:dyDescent="0.2">
      <c r="A319" s="4"/>
    </row>
    <row r="320" spans="1:1" ht="15.75" customHeight="1" x14ac:dyDescent="0.2">
      <c r="A320" s="4"/>
    </row>
    <row r="321" spans="1:1" ht="15.75" customHeight="1" x14ac:dyDescent="0.2">
      <c r="A321" s="4"/>
    </row>
    <row r="322" spans="1:1" ht="15.75" customHeight="1" x14ac:dyDescent="0.2">
      <c r="A322" s="4"/>
    </row>
    <row r="323" spans="1:1" ht="15.75" customHeight="1" x14ac:dyDescent="0.2">
      <c r="A323" s="4"/>
    </row>
    <row r="324" spans="1:1" ht="15.75" customHeight="1" x14ac:dyDescent="0.2">
      <c r="A324" s="4"/>
    </row>
    <row r="325" spans="1:1" ht="15.75" customHeight="1" x14ac:dyDescent="0.2">
      <c r="A325" s="4"/>
    </row>
    <row r="326" spans="1:1" ht="15.75" customHeight="1" x14ac:dyDescent="0.2">
      <c r="A326" s="4"/>
    </row>
    <row r="327" spans="1:1" ht="15.75" customHeight="1" x14ac:dyDescent="0.2">
      <c r="A327" s="4"/>
    </row>
    <row r="328" spans="1:1" ht="15.75" customHeight="1" x14ac:dyDescent="0.2">
      <c r="A328" s="4"/>
    </row>
    <row r="329" spans="1:1" ht="15.75" customHeight="1" x14ac:dyDescent="0.2">
      <c r="A329" s="4"/>
    </row>
    <row r="330" spans="1:1" ht="15.75" customHeight="1" x14ac:dyDescent="0.2">
      <c r="A330" s="4"/>
    </row>
    <row r="331" spans="1:1" ht="15.75" customHeight="1" x14ac:dyDescent="0.2">
      <c r="A331" s="4"/>
    </row>
    <row r="332" spans="1:1" ht="15.75" customHeight="1" x14ac:dyDescent="0.2">
      <c r="A332" s="4"/>
    </row>
    <row r="333" spans="1:1" ht="15.75" customHeight="1" x14ac:dyDescent="0.2">
      <c r="A333" s="4"/>
    </row>
    <row r="334" spans="1:1" ht="15.75" customHeight="1" x14ac:dyDescent="0.2">
      <c r="A334" s="4"/>
    </row>
    <row r="335" spans="1:1" ht="15.75" customHeight="1" x14ac:dyDescent="0.2">
      <c r="A335" s="4"/>
    </row>
    <row r="336" spans="1:1" ht="15.75" customHeight="1" x14ac:dyDescent="0.2">
      <c r="A336" s="4"/>
    </row>
    <row r="337" spans="1:1" ht="15.75" customHeight="1" x14ac:dyDescent="0.2">
      <c r="A337" s="4"/>
    </row>
    <row r="338" spans="1:1" ht="15.75" customHeight="1" x14ac:dyDescent="0.2">
      <c r="A338" s="4"/>
    </row>
    <row r="339" spans="1:1" ht="15.75" customHeight="1" x14ac:dyDescent="0.2">
      <c r="A339" s="4"/>
    </row>
    <row r="340" spans="1:1" ht="15.75" customHeight="1" x14ac:dyDescent="0.2">
      <c r="A340" s="4"/>
    </row>
    <row r="341" spans="1:1" ht="15.75" customHeight="1" x14ac:dyDescent="0.2">
      <c r="A341" s="4"/>
    </row>
    <row r="342" spans="1:1" ht="15.75" customHeight="1" x14ac:dyDescent="0.2">
      <c r="A342" s="4"/>
    </row>
    <row r="343" spans="1:1" ht="15.75" customHeight="1" x14ac:dyDescent="0.2">
      <c r="A343" s="4"/>
    </row>
    <row r="344" spans="1:1" ht="15.75" customHeight="1" x14ac:dyDescent="0.2">
      <c r="A344" s="4"/>
    </row>
    <row r="345" spans="1:1" ht="15.75" customHeight="1" x14ac:dyDescent="0.2">
      <c r="A345" s="4"/>
    </row>
    <row r="346" spans="1:1" ht="15.75" customHeight="1" x14ac:dyDescent="0.2">
      <c r="A346" s="4"/>
    </row>
    <row r="347" spans="1:1" ht="15.75" customHeight="1" x14ac:dyDescent="0.2">
      <c r="A347" s="4"/>
    </row>
    <row r="348" spans="1:1" ht="15.75" customHeight="1" x14ac:dyDescent="0.2">
      <c r="A348" s="4"/>
    </row>
    <row r="349" spans="1:1" ht="15.75" customHeight="1" x14ac:dyDescent="0.2">
      <c r="A349" s="4"/>
    </row>
    <row r="350" spans="1:1" ht="15.75" customHeight="1" x14ac:dyDescent="0.2">
      <c r="A350" s="4"/>
    </row>
    <row r="351" spans="1:1" ht="15.75" customHeight="1" x14ac:dyDescent="0.2">
      <c r="A351" s="4"/>
    </row>
    <row r="352" spans="1:1" ht="15.75" customHeight="1" x14ac:dyDescent="0.2">
      <c r="A352" s="4"/>
    </row>
    <row r="353" spans="1:1" ht="15.75" customHeight="1" x14ac:dyDescent="0.2">
      <c r="A353" s="4"/>
    </row>
    <row r="354" spans="1:1" ht="15.75" customHeight="1" x14ac:dyDescent="0.2">
      <c r="A354" s="4"/>
    </row>
    <row r="355" spans="1:1" ht="15.75" customHeight="1" x14ac:dyDescent="0.2">
      <c r="A355" s="4"/>
    </row>
    <row r="356" spans="1:1" ht="15.75" customHeight="1" x14ac:dyDescent="0.2">
      <c r="A356" s="4"/>
    </row>
    <row r="357" spans="1:1" ht="15.75" customHeight="1" x14ac:dyDescent="0.2">
      <c r="A357" s="4"/>
    </row>
    <row r="358" spans="1:1" ht="15.75" customHeight="1" x14ac:dyDescent="0.2">
      <c r="A358" s="4"/>
    </row>
    <row r="359" spans="1:1" ht="15.75" customHeight="1" x14ac:dyDescent="0.2">
      <c r="A359" s="4"/>
    </row>
    <row r="360" spans="1:1" ht="15.75" customHeight="1" x14ac:dyDescent="0.2">
      <c r="A360" s="4"/>
    </row>
    <row r="361" spans="1:1" ht="15.75" customHeight="1" x14ac:dyDescent="0.2">
      <c r="A361" s="4"/>
    </row>
    <row r="362" spans="1:1" ht="15.75" customHeight="1" x14ac:dyDescent="0.2">
      <c r="A362" s="4"/>
    </row>
    <row r="363" spans="1:1" ht="15.75" customHeight="1" x14ac:dyDescent="0.2">
      <c r="A363" s="4"/>
    </row>
    <row r="364" spans="1:1" ht="15.75" customHeight="1" x14ac:dyDescent="0.2">
      <c r="A364" s="4"/>
    </row>
    <row r="365" spans="1:1" ht="15.75" customHeight="1" x14ac:dyDescent="0.2">
      <c r="A365" s="4"/>
    </row>
    <row r="366" spans="1:1" ht="15.75" customHeight="1" x14ac:dyDescent="0.2">
      <c r="A366" s="4"/>
    </row>
    <row r="367" spans="1:1" ht="15.75" customHeight="1" x14ac:dyDescent="0.2">
      <c r="A367" s="4"/>
    </row>
    <row r="368" spans="1:1" ht="15.75" customHeight="1" x14ac:dyDescent="0.2">
      <c r="A368" s="4"/>
    </row>
    <row r="369" spans="1:1" ht="15.75" customHeight="1" x14ac:dyDescent="0.2">
      <c r="A369" s="4"/>
    </row>
    <row r="370" spans="1:1" ht="15.75" customHeight="1" x14ac:dyDescent="0.2">
      <c r="A370" s="4"/>
    </row>
    <row r="371" spans="1:1" ht="15.75" customHeight="1" x14ac:dyDescent="0.2">
      <c r="A371" s="4"/>
    </row>
    <row r="372" spans="1:1" ht="15.75" customHeight="1" x14ac:dyDescent="0.2">
      <c r="A372" s="4"/>
    </row>
    <row r="373" spans="1:1" ht="15.75" customHeight="1" x14ac:dyDescent="0.2">
      <c r="A373" s="4"/>
    </row>
    <row r="374" spans="1:1" ht="15.75" customHeight="1" x14ac:dyDescent="0.2">
      <c r="A374" s="4"/>
    </row>
    <row r="375" spans="1:1" ht="15.75" customHeight="1" x14ac:dyDescent="0.2">
      <c r="A375" s="4"/>
    </row>
    <row r="376" spans="1:1" ht="15.75" customHeight="1" x14ac:dyDescent="0.2">
      <c r="A376" s="4"/>
    </row>
    <row r="377" spans="1:1" ht="15.75" customHeight="1" x14ac:dyDescent="0.2">
      <c r="A377" s="4"/>
    </row>
    <row r="378" spans="1:1" ht="15.75" customHeight="1" x14ac:dyDescent="0.2">
      <c r="A378" s="4"/>
    </row>
    <row r="379" spans="1:1" ht="15.75" customHeight="1" x14ac:dyDescent="0.2">
      <c r="A379" s="4"/>
    </row>
    <row r="380" spans="1:1" ht="15.75" customHeight="1" x14ac:dyDescent="0.2">
      <c r="A380" s="4"/>
    </row>
    <row r="381" spans="1:1" ht="15.75" customHeight="1" x14ac:dyDescent="0.2">
      <c r="A381" s="4"/>
    </row>
    <row r="382" spans="1:1" ht="15.75" customHeight="1" x14ac:dyDescent="0.2">
      <c r="A382" s="4"/>
    </row>
    <row r="383" spans="1:1" ht="15.75" customHeight="1" x14ac:dyDescent="0.2">
      <c r="A383" s="4"/>
    </row>
    <row r="384" spans="1:1" ht="15.75" customHeight="1" x14ac:dyDescent="0.2">
      <c r="A384" s="4"/>
    </row>
    <row r="385" spans="1:1" ht="15.75" customHeight="1" x14ac:dyDescent="0.2">
      <c r="A385" s="4"/>
    </row>
    <row r="386" spans="1:1" ht="15.75" customHeight="1" x14ac:dyDescent="0.2">
      <c r="A386" s="4"/>
    </row>
    <row r="387" spans="1:1" ht="15.75" customHeight="1" x14ac:dyDescent="0.2">
      <c r="A387" s="4"/>
    </row>
    <row r="388" spans="1:1" ht="15.75" customHeight="1" x14ac:dyDescent="0.2">
      <c r="A388" s="4"/>
    </row>
    <row r="389" spans="1:1" ht="15.75" customHeight="1" x14ac:dyDescent="0.2">
      <c r="A389" s="4"/>
    </row>
    <row r="390" spans="1:1" ht="15.75" customHeight="1" x14ac:dyDescent="0.2">
      <c r="A390" s="4"/>
    </row>
    <row r="391" spans="1:1" ht="15.75" customHeight="1" x14ac:dyDescent="0.2">
      <c r="A391" s="4"/>
    </row>
    <row r="392" spans="1:1" ht="15.75" customHeight="1" x14ac:dyDescent="0.2">
      <c r="A392" s="4"/>
    </row>
    <row r="393" spans="1:1" ht="15.75" customHeight="1" x14ac:dyDescent="0.2">
      <c r="A393" s="4"/>
    </row>
    <row r="394" spans="1:1" ht="15.75" customHeight="1" x14ac:dyDescent="0.2">
      <c r="A394" s="4"/>
    </row>
    <row r="395" spans="1:1" ht="15.75" customHeight="1" x14ac:dyDescent="0.2">
      <c r="A395" s="4"/>
    </row>
    <row r="396" spans="1:1" ht="15.75" customHeight="1" x14ac:dyDescent="0.2">
      <c r="A396" s="4"/>
    </row>
    <row r="397" spans="1:1" ht="15.75" customHeight="1" x14ac:dyDescent="0.2">
      <c r="A397" s="4"/>
    </row>
    <row r="398" spans="1:1" ht="15.75" customHeight="1" x14ac:dyDescent="0.2">
      <c r="A398" s="4"/>
    </row>
    <row r="399" spans="1:1" ht="15.75" customHeight="1" x14ac:dyDescent="0.2">
      <c r="A399" s="4"/>
    </row>
    <row r="400" spans="1:1" ht="15.75" customHeight="1" x14ac:dyDescent="0.2">
      <c r="A400" s="4"/>
    </row>
    <row r="401" spans="1:1" ht="15.75" customHeight="1" x14ac:dyDescent="0.2">
      <c r="A401" s="4"/>
    </row>
    <row r="402" spans="1:1" ht="15.75" customHeight="1" x14ac:dyDescent="0.2">
      <c r="A402" s="4"/>
    </row>
    <row r="403" spans="1:1" ht="15.75" customHeight="1" x14ac:dyDescent="0.2">
      <c r="A403" s="4"/>
    </row>
    <row r="404" spans="1:1" ht="15.75" customHeight="1" x14ac:dyDescent="0.2">
      <c r="A404" s="4"/>
    </row>
    <row r="405" spans="1:1" ht="15.75" customHeight="1" x14ac:dyDescent="0.2">
      <c r="A405" s="4"/>
    </row>
    <row r="406" spans="1:1" ht="15.75" customHeight="1" x14ac:dyDescent="0.2">
      <c r="A406" s="4"/>
    </row>
    <row r="407" spans="1:1" ht="15.75" customHeight="1" x14ac:dyDescent="0.2">
      <c r="A407" s="4"/>
    </row>
    <row r="408" spans="1:1" ht="15.75" customHeight="1" x14ac:dyDescent="0.2">
      <c r="A408" s="4"/>
    </row>
    <row r="409" spans="1:1" ht="15.75" customHeight="1" x14ac:dyDescent="0.2">
      <c r="A409" s="4"/>
    </row>
    <row r="410" spans="1:1" ht="15.75" customHeight="1" x14ac:dyDescent="0.2">
      <c r="A410" s="4"/>
    </row>
    <row r="411" spans="1:1" ht="15.75" customHeight="1" x14ac:dyDescent="0.2">
      <c r="A411" s="4"/>
    </row>
    <row r="412" spans="1:1" ht="15.75" customHeight="1" x14ac:dyDescent="0.2">
      <c r="A412" s="4"/>
    </row>
    <row r="413" spans="1:1" ht="15.75" customHeight="1" x14ac:dyDescent="0.2">
      <c r="A413" s="4"/>
    </row>
    <row r="414" spans="1:1" ht="15.75" customHeight="1" x14ac:dyDescent="0.2">
      <c r="A414" s="4"/>
    </row>
    <row r="415" spans="1:1" ht="15.75" customHeight="1" x14ac:dyDescent="0.2">
      <c r="A415" s="4"/>
    </row>
    <row r="416" spans="1:1" ht="15.75" customHeight="1" x14ac:dyDescent="0.2">
      <c r="A416" s="4"/>
    </row>
    <row r="417" spans="1:1" ht="15.75" customHeight="1" x14ac:dyDescent="0.2">
      <c r="A417" s="4"/>
    </row>
    <row r="418" spans="1:1" ht="15.75" customHeight="1" x14ac:dyDescent="0.2">
      <c r="A418" s="4"/>
    </row>
    <row r="419" spans="1:1" ht="15.75" customHeight="1" x14ac:dyDescent="0.2">
      <c r="A419" s="4"/>
    </row>
    <row r="420" spans="1:1" ht="15.75" customHeight="1" x14ac:dyDescent="0.2">
      <c r="A420" s="4"/>
    </row>
    <row r="421" spans="1:1" ht="15.75" customHeight="1" x14ac:dyDescent="0.2">
      <c r="A421" s="4"/>
    </row>
    <row r="422" spans="1:1" ht="15.75" customHeight="1" x14ac:dyDescent="0.2">
      <c r="A422" s="4"/>
    </row>
    <row r="423" spans="1:1" ht="15.75" customHeight="1" x14ac:dyDescent="0.2">
      <c r="A423" s="4"/>
    </row>
    <row r="424" spans="1:1" ht="15.75" customHeight="1" x14ac:dyDescent="0.2">
      <c r="A424" s="4"/>
    </row>
    <row r="425" spans="1:1" ht="15.75" customHeight="1" x14ac:dyDescent="0.2">
      <c r="A425" s="4"/>
    </row>
    <row r="426" spans="1:1" ht="15.75" customHeight="1" x14ac:dyDescent="0.2">
      <c r="A426" s="4"/>
    </row>
    <row r="427" spans="1:1" ht="15.75" customHeight="1" x14ac:dyDescent="0.2">
      <c r="A427" s="4"/>
    </row>
    <row r="428" spans="1:1" ht="15.75" customHeight="1" x14ac:dyDescent="0.2">
      <c r="A428" s="4"/>
    </row>
    <row r="429" spans="1:1" ht="15.75" customHeight="1" x14ac:dyDescent="0.2">
      <c r="A429" s="4"/>
    </row>
    <row r="430" spans="1:1" ht="15.75" customHeight="1" x14ac:dyDescent="0.2">
      <c r="A430" s="4"/>
    </row>
    <row r="431" spans="1:1" ht="15.75" customHeight="1" x14ac:dyDescent="0.2">
      <c r="A431" s="4"/>
    </row>
    <row r="432" spans="1:1" ht="15.75" customHeight="1" x14ac:dyDescent="0.2">
      <c r="A432" s="4"/>
    </row>
    <row r="433" spans="1:1" ht="15.75" customHeight="1" x14ac:dyDescent="0.2">
      <c r="A433" s="4"/>
    </row>
    <row r="434" spans="1:1" ht="15.75" customHeight="1" x14ac:dyDescent="0.2">
      <c r="A434" s="4"/>
    </row>
    <row r="435" spans="1:1" ht="15.75" customHeight="1" x14ac:dyDescent="0.2">
      <c r="A435" s="4"/>
    </row>
    <row r="436" spans="1:1" ht="15.75" customHeight="1" x14ac:dyDescent="0.2">
      <c r="A436" s="4"/>
    </row>
    <row r="437" spans="1:1" ht="15.75" customHeight="1" x14ac:dyDescent="0.2">
      <c r="A437" s="4"/>
    </row>
    <row r="438" spans="1:1" ht="15.75" customHeight="1" x14ac:dyDescent="0.2">
      <c r="A438" s="4"/>
    </row>
    <row r="439" spans="1:1" ht="15.75" customHeight="1" x14ac:dyDescent="0.2">
      <c r="A439" s="4"/>
    </row>
    <row r="440" spans="1:1" ht="15.75" customHeight="1" x14ac:dyDescent="0.2">
      <c r="A440" s="4"/>
    </row>
    <row r="441" spans="1:1" ht="15.75" customHeight="1" x14ac:dyDescent="0.2">
      <c r="A441" s="4"/>
    </row>
    <row r="442" spans="1:1" ht="15.75" customHeight="1" x14ac:dyDescent="0.2">
      <c r="A442" s="4"/>
    </row>
    <row r="443" spans="1:1" ht="15.75" customHeight="1" x14ac:dyDescent="0.2">
      <c r="A443" s="4"/>
    </row>
    <row r="444" spans="1:1" ht="15.75" customHeight="1" x14ac:dyDescent="0.2">
      <c r="A444" s="4"/>
    </row>
    <row r="445" spans="1:1" ht="15.75" customHeight="1" x14ac:dyDescent="0.2">
      <c r="A445" s="4"/>
    </row>
    <row r="446" spans="1:1" ht="15.75" customHeight="1" x14ac:dyDescent="0.2">
      <c r="A446" s="4"/>
    </row>
    <row r="447" spans="1:1" ht="15.75" customHeight="1" x14ac:dyDescent="0.2">
      <c r="A447" s="4"/>
    </row>
    <row r="448" spans="1:1" ht="15.75" customHeight="1" x14ac:dyDescent="0.2">
      <c r="A448" s="4"/>
    </row>
    <row r="449" spans="1:1" ht="15.75" customHeight="1" x14ac:dyDescent="0.2">
      <c r="A449" s="4"/>
    </row>
    <row r="450" spans="1:1" ht="15.75" customHeight="1" x14ac:dyDescent="0.2">
      <c r="A450" s="4"/>
    </row>
    <row r="451" spans="1:1" ht="15.75" customHeight="1" x14ac:dyDescent="0.2">
      <c r="A451" s="4"/>
    </row>
    <row r="452" spans="1:1" ht="15.75" customHeight="1" x14ac:dyDescent="0.2">
      <c r="A452" s="4"/>
    </row>
    <row r="453" spans="1:1" ht="15.75" customHeight="1" x14ac:dyDescent="0.2">
      <c r="A453" s="4"/>
    </row>
    <row r="454" spans="1:1" ht="15.75" customHeight="1" x14ac:dyDescent="0.2">
      <c r="A454" s="4"/>
    </row>
    <row r="455" spans="1:1" ht="15.75" customHeight="1" x14ac:dyDescent="0.2">
      <c r="A455" s="4"/>
    </row>
    <row r="456" spans="1:1" ht="15.75" customHeight="1" x14ac:dyDescent="0.2">
      <c r="A456" s="4"/>
    </row>
    <row r="457" spans="1:1" ht="15.75" customHeight="1" x14ac:dyDescent="0.2">
      <c r="A457" s="4"/>
    </row>
    <row r="458" spans="1:1" ht="15.75" customHeight="1" x14ac:dyDescent="0.2">
      <c r="A458" s="4"/>
    </row>
    <row r="459" spans="1:1" ht="15.75" customHeight="1" x14ac:dyDescent="0.2">
      <c r="A459" s="4"/>
    </row>
    <row r="460" spans="1:1" ht="15.75" customHeight="1" x14ac:dyDescent="0.2">
      <c r="A460" s="4"/>
    </row>
    <row r="461" spans="1:1" ht="15.75" customHeight="1" x14ac:dyDescent="0.2">
      <c r="A461" s="4"/>
    </row>
    <row r="462" spans="1:1" ht="15.75" customHeight="1" x14ac:dyDescent="0.2">
      <c r="A462" s="4"/>
    </row>
    <row r="463" spans="1:1" ht="15.75" customHeight="1" x14ac:dyDescent="0.2">
      <c r="A463" s="4"/>
    </row>
    <row r="464" spans="1:1" ht="15.75" customHeight="1" x14ac:dyDescent="0.2">
      <c r="A464" s="4"/>
    </row>
    <row r="465" spans="1:1" ht="15.75" customHeight="1" x14ac:dyDescent="0.2">
      <c r="A465" s="4"/>
    </row>
    <row r="466" spans="1:1" ht="15.75" customHeight="1" x14ac:dyDescent="0.2">
      <c r="A466" s="4"/>
    </row>
    <row r="467" spans="1:1" ht="15.75" customHeight="1" x14ac:dyDescent="0.2">
      <c r="A467" s="4"/>
    </row>
    <row r="468" spans="1:1" ht="15.75" customHeight="1" x14ac:dyDescent="0.2">
      <c r="A468" s="4"/>
    </row>
    <row r="469" spans="1:1" ht="15.75" customHeight="1" x14ac:dyDescent="0.2">
      <c r="A469" s="4"/>
    </row>
    <row r="470" spans="1:1" ht="15.75" customHeight="1" x14ac:dyDescent="0.2">
      <c r="A470" s="4"/>
    </row>
    <row r="471" spans="1:1" ht="15.75" customHeight="1" x14ac:dyDescent="0.2">
      <c r="A471" s="4"/>
    </row>
    <row r="472" spans="1:1" ht="15.75" customHeight="1" x14ac:dyDescent="0.2">
      <c r="A472" s="4"/>
    </row>
    <row r="473" spans="1:1" ht="15.75" customHeight="1" x14ac:dyDescent="0.2">
      <c r="A473" s="4"/>
    </row>
    <row r="474" spans="1:1" ht="15.75" customHeight="1" x14ac:dyDescent="0.2">
      <c r="A474" s="4"/>
    </row>
    <row r="475" spans="1:1" ht="15.75" customHeight="1" x14ac:dyDescent="0.2">
      <c r="A475" s="4"/>
    </row>
    <row r="476" spans="1:1" ht="15.75" customHeight="1" x14ac:dyDescent="0.2">
      <c r="A476" s="4"/>
    </row>
    <row r="477" spans="1:1" ht="15.75" customHeight="1" x14ac:dyDescent="0.2">
      <c r="A477" s="4"/>
    </row>
    <row r="478" spans="1:1" ht="15.75" customHeight="1" x14ac:dyDescent="0.2">
      <c r="A478" s="4"/>
    </row>
    <row r="479" spans="1:1" ht="15.75" customHeight="1" x14ac:dyDescent="0.2">
      <c r="A479" s="4"/>
    </row>
    <row r="480" spans="1:1" ht="15.75" customHeight="1" x14ac:dyDescent="0.2">
      <c r="A480" s="4"/>
    </row>
    <row r="481" spans="1:1" ht="15.75" customHeight="1" x14ac:dyDescent="0.2">
      <c r="A481" s="4"/>
    </row>
    <row r="482" spans="1:1" ht="15.75" customHeight="1" x14ac:dyDescent="0.2">
      <c r="A482" s="4"/>
    </row>
    <row r="483" spans="1:1" ht="15.75" customHeight="1" x14ac:dyDescent="0.2">
      <c r="A483" s="4"/>
    </row>
    <row r="484" spans="1:1" ht="15.75" customHeight="1" x14ac:dyDescent="0.2">
      <c r="A484" s="4"/>
    </row>
    <row r="485" spans="1:1" ht="15.75" customHeight="1" x14ac:dyDescent="0.2">
      <c r="A485" s="4"/>
    </row>
    <row r="486" spans="1:1" ht="15.75" customHeight="1" x14ac:dyDescent="0.2">
      <c r="A486" s="4"/>
    </row>
    <row r="487" spans="1:1" ht="15.75" customHeight="1" x14ac:dyDescent="0.2">
      <c r="A487" s="4"/>
    </row>
    <row r="488" spans="1:1" ht="15.75" customHeight="1" x14ac:dyDescent="0.2">
      <c r="A488" s="4"/>
    </row>
    <row r="489" spans="1:1" ht="15.75" customHeight="1" x14ac:dyDescent="0.2">
      <c r="A489" s="4"/>
    </row>
    <row r="490" spans="1:1" ht="15.75" customHeight="1" x14ac:dyDescent="0.2">
      <c r="A490" s="4"/>
    </row>
    <row r="491" spans="1:1" ht="15.75" customHeight="1" x14ac:dyDescent="0.2">
      <c r="A491" s="4"/>
    </row>
    <row r="492" spans="1:1" ht="15.75" customHeight="1" x14ac:dyDescent="0.2">
      <c r="A492" s="4"/>
    </row>
    <row r="493" spans="1:1" ht="15.75" customHeight="1" x14ac:dyDescent="0.2">
      <c r="A493" s="4"/>
    </row>
    <row r="494" spans="1:1" ht="15.75" customHeight="1" x14ac:dyDescent="0.2">
      <c r="A494" s="4"/>
    </row>
    <row r="495" spans="1:1" ht="15.75" customHeight="1" x14ac:dyDescent="0.2">
      <c r="A495" s="4"/>
    </row>
    <row r="496" spans="1:1" ht="15.75" customHeight="1" x14ac:dyDescent="0.2">
      <c r="A496" s="4"/>
    </row>
    <row r="497" spans="1:1" ht="15.75" customHeight="1" x14ac:dyDescent="0.2">
      <c r="A497" s="4"/>
    </row>
    <row r="498" spans="1:1" ht="15.75" customHeight="1" x14ac:dyDescent="0.2">
      <c r="A498" s="4"/>
    </row>
    <row r="499" spans="1:1" ht="15.75" customHeight="1" x14ac:dyDescent="0.2">
      <c r="A499" s="4"/>
    </row>
    <row r="500" spans="1:1" ht="15.75" customHeight="1" x14ac:dyDescent="0.2">
      <c r="A500" s="4"/>
    </row>
    <row r="501" spans="1:1" ht="15.75" customHeight="1" x14ac:dyDescent="0.2">
      <c r="A501" s="4"/>
    </row>
    <row r="502" spans="1:1" ht="15.75" customHeight="1" x14ac:dyDescent="0.2">
      <c r="A502" s="4"/>
    </row>
    <row r="503" spans="1:1" ht="15.75" customHeight="1" x14ac:dyDescent="0.2">
      <c r="A503" s="4"/>
    </row>
    <row r="504" spans="1:1" ht="15.75" customHeight="1" x14ac:dyDescent="0.2">
      <c r="A504" s="4"/>
    </row>
    <row r="505" spans="1:1" ht="15.75" customHeight="1" x14ac:dyDescent="0.2">
      <c r="A505" s="4"/>
    </row>
    <row r="506" spans="1:1" ht="15.75" customHeight="1" x14ac:dyDescent="0.2">
      <c r="A506" s="4"/>
    </row>
    <row r="507" spans="1:1" ht="15.75" customHeight="1" x14ac:dyDescent="0.2">
      <c r="A507" s="4"/>
    </row>
    <row r="508" spans="1:1" ht="15.75" customHeight="1" x14ac:dyDescent="0.2">
      <c r="A508" s="4"/>
    </row>
    <row r="509" spans="1:1" ht="15.75" customHeight="1" x14ac:dyDescent="0.2">
      <c r="A509" s="4"/>
    </row>
    <row r="510" spans="1:1" ht="15.75" customHeight="1" x14ac:dyDescent="0.2">
      <c r="A510" s="4"/>
    </row>
    <row r="511" spans="1:1" ht="15.75" customHeight="1" x14ac:dyDescent="0.2">
      <c r="A511" s="4"/>
    </row>
    <row r="512" spans="1:1" ht="15.75" customHeight="1" x14ac:dyDescent="0.2">
      <c r="A512" s="4"/>
    </row>
    <row r="513" spans="1:1" ht="15.75" customHeight="1" x14ac:dyDescent="0.2">
      <c r="A513" s="4"/>
    </row>
    <row r="514" spans="1:1" ht="15.75" customHeight="1" x14ac:dyDescent="0.2">
      <c r="A514" s="4"/>
    </row>
    <row r="515" spans="1:1" ht="15.75" customHeight="1" x14ac:dyDescent="0.2">
      <c r="A515" s="4"/>
    </row>
    <row r="516" spans="1:1" ht="15.75" customHeight="1" x14ac:dyDescent="0.2">
      <c r="A516" s="4"/>
    </row>
    <row r="517" spans="1:1" ht="15.75" customHeight="1" x14ac:dyDescent="0.2">
      <c r="A517" s="4"/>
    </row>
    <row r="518" spans="1:1" ht="15.75" customHeight="1" x14ac:dyDescent="0.2">
      <c r="A518" s="4"/>
    </row>
    <row r="519" spans="1:1" ht="15.75" customHeight="1" x14ac:dyDescent="0.2">
      <c r="A519" s="4"/>
    </row>
    <row r="520" spans="1:1" ht="15.75" customHeight="1" x14ac:dyDescent="0.2">
      <c r="A520" s="4"/>
    </row>
    <row r="521" spans="1:1" ht="15.75" customHeight="1" x14ac:dyDescent="0.2">
      <c r="A521" s="4"/>
    </row>
    <row r="522" spans="1:1" ht="15.75" customHeight="1" x14ac:dyDescent="0.2">
      <c r="A522" s="4"/>
    </row>
    <row r="523" spans="1:1" ht="15.75" customHeight="1" x14ac:dyDescent="0.2">
      <c r="A523" s="4"/>
    </row>
    <row r="524" spans="1:1" ht="15.75" customHeight="1" x14ac:dyDescent="0.2">
      <c r="A524" s="4"/>
    </row>
    <row r="525" spans="1:1" ht="15.75" customHeight="1" x14ac:dyDescent="0.2">
      <c r="A525" s="4"/>
    </row>
    <row r="526" spans="1:1" ht="15.75" customHeight="1" x14ac:dyDescent="0.2">
      <c r="A526" s="4"/>
    </row>
    <row r="527" spans="1:1" ht="15.75" customHeight="1" x14ac:dyDescent="0.2">
      <c r="A527" s="4"/>
    </row>
    <row r="528" spans="1:1" ht="15.75" customHeight="1" x14ac:dyDescent="0.2">
      <c r="A528" s="4"/>
    </row>
    <row r="529" spans="1:1" ht="15.75" customHeight="1" x14ac:dyDescent="0.2">
      <c r="A529" s="4"/>
    </row>
    <row r="530" spans="1:1" ht="15.75" customHeight="1" x14ac:dyDescent="0.2">
      <c r="A530" s="4"/>
    </row>
    <row r="531" spans="1:1" ht="15.75" customHeight="1" x14ac:dyDescent="0.2">
      <c r="A531" s="4"/>
    </row>
    <row r="532" spans="1:1" ht="15.75" customHeight="1" x14ac:dyDescent="0.2">
      <c r="A532" s="4"/>
    </row>
    <row r="533" spans="1:1" ht="15.75" customHeight="1" x14ac:dyDescent="0.2">
      <c r="A533" s="4"/>
    </row>
    <row r="534" spans="1:1" ht="15.75" customHeight="1" x14ac:dyDescent="0.2">
      <c r="A534" s="4"/>
    </row>
    <row r="535" spans="1:1" ht="15.75" customHeight="1" x14ac:dyDescent="0.2">
      <c r="A535" s="4"/>
    </row>
    <row r="536" spans="1:1" ht="15.75" customHeight="1" x14ac:dyDescent="0.2">
      <c r="A536" s="4"/>
    </row>
    <row r="537" spans="1:1" ht="15.75" customHeight="1" x14ac:dyDescent="0.2">
      <c r="A537" s="4"/>
    </row>
    <row r="538" spans="1:1" ht="15.75" customHeight="1" x14ac:dyDescent="0.2">
      <c r="A538" s="4"/>
    </row>
    <row r="539" spans="1:1" ht="15.75" customHeight="1" x14ac:dyDescent="0.2">
      <c r="A539" s="4"/>
    </row>
    <row r="540" spans="1:1" ht="15.75" customHeight="1" x14ac:dyDescent="0.2">
      <c r="A540" s="4"/>
    </row>
    <row r="541" spans="1:1" ht="15.75" customHeight="1" x14ac:dyDescent="0.2">
      <c r="A541" s="4"/>
    </row>
    <row r="542" spans="1:1" ht="15.75" customHeight="1" x14ac:dyDescent="0.2">
      <c r="A542" s="4"/>
    </row>
    <row r="543" spans="1:1" ht="15.75" customHeight="1" x14ac:dyDescent="0.2">
      <c r="A543" s="4"/>
    </row>
    <row r="544" spans="1:1" ht="15.75" customHeight="1" x14ac:dyDescent="0.2">
      <c r="A544" s="4"/>
    </row>
    <row r="545" spans="1:1" ht="15.75" customHeight="1" x14ac:dyDescent="0.2">
      <c r="A545" s="4"/>
    </row>
    <row r="546" spans="1:1" ht="15.75" customHeight="1" x14ac:dyDescent="0.2">
      <c r="A546" s="4"/>
    </row>
    <row r="547" spans="1:1" ht="15.75" customHeight="1" x14ac:dyDescent="0.2">
      <c r="A547" s="4"/>
    </row>
    <row r="548" spans="1:1" ht="15.75" customHeight="1" x14ac:dyDescent="0.2">
      <c r="A548" s="4"/>
    </row>
    <row r="549" spans="1:1" ht="15.75" customHeight="1" x14ac:dyDescent="0.2">
      <c r="A549" s="4"/>
    </row>
    <row r="550" spans="1:1" ht="15.75" customHeight="1" x14ac:dyDescent="0.2">
      <c r="A550" s="4"/>
    </row>
    <row r="551" spans="1:1" ht="15.75" customHeight="1" x14ac:dyDescent="0.2">
      <c r="A551" s="4"/>
    </row>
    <row r="552" spans="1:1" ht="15.75" customHeight="1" x14ac:dyDescent="0.2">
      <c r="A552" s="4"/>
    </row>
    <row r="553" spans="1:1" ht="15.75" customHeight="1" x14ac:dyDescent="0.2">
      <c r="A553" s="4"/>
    </row>
    <row r="554" spans="1:1" ht="15.75" customHeight="1" x14ac:dyDescent="0.2">
      <c r="A554" s="4"/>
    </row>
    <row r="555" spans="1:1" ht="15.75" customHeight="1" x14ac:dyDescent="0.2">
      <c r="A555" s="4"/>
    </row>
    <row r="556" spans="1:1" ht="15.75" customHeight="1" x14ac:dyDescent="0.2">
      <c r="A556" s="4"/>
    </row>
    <row r="557" spans="1:1" ht="15.75" customHeight="1" x14ac:dyDescent="0.2">
      <c r="A557" s="4"/>
    </row>
    <row r="558" spans="1:1" ht="15.75" customHeight="1" x14ac:dyDescent="0.2">
      <c r="A558" s="4"/>
    </row>
    <row r="559" spans="1:1" ht="15.75" customHeight="1" x14ac:dyDescent="0.2">
      <c r="A559" s="4"/>
    </row>
    <row r="560" spans="1:1" ht="15.75" customHeight="1" x14ac:dyDescent="0.2">
      <c r="A560" s="4"/>
    </row>
    <row r="561" spans="1:1" ht="15.75" customHeight="1" x14ac:dyDescent="0.2">
      <c r="A561" s="4"/>
    </row>
    <row r="562" spans="1:1" ht="15.75" customHeight="1" x14ac:dyDescent="0.2">
      <c r="A562" s="4"/>
    </row>
    <row r="563" spans="1:1" ht="15.75" customHeight="1" x14ac:dyDescent="0.2">
      <c r="A563" s="4"/>
    </row>
    <row r="564" spans="1:1" ht="15.75" customHeight="1" x14ac:dyDescent="0.2">
      <c r="A564" s="4"/>
    </row>
    <row r="565" spans="1:1" ht="15.75" customHeight="1" x14ac:dyDescent="0.2">
      <c r="A565" s="4"/>
    </row>
    <row r="566" spans="1:1" ht="15.75" customHeight="1" x14ac:dyDescent="0.2">
      <c r="A566" s="4"/>
    </row>
    <row r="567" spans="1:1" ht="15.75" customHeight="1" x14ac:dyDescent="0.2">
      <c r="A567" s="4"/>
    </row>
    <row r="568" spans="1:1" ht="15.75" customHeight="1" x14ac:dyDescent="0.2">
      <c r="A568" s="4"/>
    </row>
    <row r="569" spans="1:1" ht="15.75" customHeight="1" x14ac:dyDescent="0.2">
      <c r="A569" s="4"/>
    </row>
    <row r="570" spans="1:1" ht="15.75" customHeight="1" x14ac:dyDescent="0.2">
      <c r="A570" s="4"/>
    </row>
    <row r="571" spans="1:1" ht="15.75" customHeight="1" x14ac:dyDescent="0.2">
      <c r="A571" s="4"/>
    </row>
    <row r="572" spans="1:1" ht="15.75" customHeight="1" x14ac:dyDescent="0.2">
      <c r="A572" s="4"/>
    </row>
    <row r="573" spans="1:1" ht="15.75" customHeight="1" x14ac:dyDescent="0.2">
      <c r="A573" s="4"/>
    </row>
    <row r="574" spans="1:1" ht="15.75" customHeight="1" x14ac:dyDescent="0.2">
      <c r="A574" s="4"/>
    </row>
    <row r="575" spans="1:1" ht="15.75" customHeight="1" x14ac:dyDescent="0.2">
      <c r="A575" s="4"/>
    </row>
    <row r="576" spans="1:1" ht="15.75" customHeight="1" x14ac:dyDescent="0.2">
      <c r="A576" s="4"/>
    </row>
    <row r="577" spans="1:1" ht="15.75" customHeight="1" x14ac:dyDescent="0.2">
      <c r="A577" s="4"/>
    </row>
    <row r="578" spans="1:1" ht="15.75" customHeight="1" x14ac:dyDescent="0.2">
      <c r="A578" s="4"/>
    </row>
    <row r="579" spans="1:1" ht="15.75" customHeight="1" x14ac:dyDescent="0.2">
      <c r="A579" s="4"/>
    </row>
    <row r="580" spans="1:1" ht="15.75" customHeight="1" x14ac:dyDescent="0.2">
      <c r="A580" s="4"/>
    </row>
    <row r="581" spans="1:1" ht="15.75" customHeight="1" x14ac:dyDescent="0.2">
      <c r="A581" s="4"/>
    </row>
    <row r="582" spans="1:1" ht="15.75" customHeight="1" x14ac:dyDescent="0.2">
      <c r="A582" s="4"/>
    </row>
    <row r="583" spans="1:1" ht="15.75" customHeight="1" x14ac:dyDescent="0.2">
      <c r="A583" s="4"/>
    </row>
    <row r="584" spans="1:1" ht="15.75" customHeight="1" x14ac:dyDescent="0.2">
      <c r="A584" s="4"/>
    </row>
    <row r="585" spans="1:1" ht="15.75" customHeight="1" x14ac:dyDescent="0.2">
      <c r="A585" s="4"/>
    </row>
    <row r="586" spans="1:1" ht="15.75" customHeight="1" x14ac:dyDescent="0.2">
      <c r="A586" s="4"/>
    </row>
    <row r="587" spans="1:1" ht="15.75" customHeight="1" x14ac:dyDescent="0.2">
      <c r="A587" s="4"/>
    </row>
    <row r="588" spans="1:1" ht="15.75" customHeight="1" x14ac:dyDescent="0.2">
      <c r="A588" s="4"/>
    </row>
    <row r="589" spans="1:1" ht="15.75" customHeight="1" x14ac:dyDescent="0.2">
      <c r="A589" s="4"/>
    </row>
    <row r="590" spans="1:1" ht="15.75" customHeight="1" x14ac:dyDescent="0.2">
      <c r="A590" s="4"/>
    </row>
    <row r="591" spans="1:1" ht="15.75" customHeight="1" x14ac:dyDescent="0.2">
      <c r="A591" s="4"/>
    </row>
    <row r="592" spans="1:1" ht="15.75" customHeight="1" x14ac:dyDescent="0.2">
      <c r="A592" s="4"/>
    </row>
    <row r="593" spans="1:1" ht="15.75" customHeight="1" x14ac:dyDescent="0.2">
      <c r="A593" s="4"/>
    </row>
    <row r="594" spans="1:1" ht="15.75" customHeight="1" x14ac:dyDescent="0.2">
      <c r="A594" s="4"/>
    </row>
    <row r="595" spans="1:1" ht="15.75" customHeight="1" x14ac:dyDescent="0.2">
      <c r="A595" s="4"/>
    </row>
    <row r="596" spans="1:1" ht="15.75" customHeight="1" x14ac:dyDescent="0.2">
      <c r="A596" s="4"/>
    </row>
    <row r="597" spans="1:1" ht="15.75" customHeight="1" x14ac:dyDescent="0.2">
      <c r="A597" s="4"/>
    </row>
    <row r="598" spans="1:1" ht="15.75" customHeight="1" x14ac:dyDescent="0.2">
      <c r="A598" s="4"/>
    </row>
    <row r="599" spans="1:1" ht="15.75" customHeight="1" x14ac:dyDescent="0.2">
      <c r="A599" s="4"/>
    </row>
    <row r="600" spans="1:1" ht="15.75" customHeight="1" x14ac:dyDescent="0.2">
      <c r="A600" s="4"/>
    </row>
    <row r="601" spans="1:1" ht="15.75" customHeight="1" x14ac:dyDescent="0.2">
      <c r="A601" s="4"/>
    </row>
    <row r="602" spans="1:1" ht="15.75" customHeight="1" x14ac:dyDescent="0.2">
      <c r="A602" s="4"/>
    </row>
    <row r="603" spans="1:1" ht="15.75" customHeight="1" x14ac:dyDescent="0.2">
      <c r="A603" s="4"/>
    </row>
    <row r="604" spans="1:1" ht="15.75" customHeight="1" x14ac:dyDescent="0.2">
      <c r="A604" s="4"/>
    </row>
    <row r="605" spans="1:1" ht="15.75" customHeight="1" x14ac:dyDescent="0.2">
      <c r="A605" s="4"/>
    </row>
    <row r="606" spans="1:1" ht="15.75" customHeight="1" x14ac:dyDescent="0.2">
      <c r="A606" s="4"/>
    </row>
    <row r="607" spans="1:1" ht="15.75" customHeight="1" x14ac:dyDescent="0.2">
      <c r="A607" s="4"/>
    </row>
    <row r="608" spans="1:1" ht="15.75" customHeight="1" x14ac:dyDescent="0.2">
      <c r="A608" s="4"/>
    </row>
    <row r="609" spans="1:1" ht="15.75" customHeight="1" x14ac:dyDescent="0.2">
      <c r="A609" s="4"/>
    </row>
    <row r="610" spans="1:1" ht="15.75" customHeight="1" x14ac:dyDescent="0.2">
      <c r="A610" s="4"/>
    </row>
    <row r="611" spans="1:1" ht="15.75" customHeight="1" x14ac:dyDescent="0.2">
      <c r="A611" s="4"/>
    </row>
    <row r="612" spans="1:1" ht="15.75" customHeight="1" x14ac:dyDescent="0.2">
      <c r="A612" s="4"/>
    </row>
    <row r="613" spans="1:1" ht="15.75" customHeight="1" x14ac:dyDescent="0.2">
      <c r="A613" s="4"/>
    </row>
    <row r="614" spans="1:1" ht="15.75" customHeight="1" x14ac:dyDescent="0.2">
      <c r="A614" s="4"/>
    </row>
    <row r="615" spans="1:1" ht="15.75" customHeight="1" x14ac:dyDescent="0.2">
      <c r="A615" s="4"/>
    </row>
    <row r="616" spans="1:1" ht="15.75" customHeight="1" x14ac:dyDescent="0.2">
      <c r="A616" s="4"/>
    </row>
    <row r="617" spans="1:1" ht="15.75" customHeight="1" x14ac:dyDescent="0.2">
      <c r="A617" s="4"/>
    </row>
    <row r="618" spans="1:1" ht="15.75" customHeight="1" x14ac:dyDescent="0.2">
      <c r="A618" s="4"/>
    </row>
    <row r="619" spans="1:1" ht="15.75" customHeight="1" x14ac:dyDescent="0.2">
      <c r="A619" s="4"/>
    </row>
    <row r="620" spans="1:1" ht="15.75" customHeight="1" x14ac:dyDescent="0.2">
      <c r="A620" s="4"/>
    </row>
    <row r="621" spans="1:1" ht="15.75" customHeight="1" x14ac:dyDescent="0.2">
      <c r="A621" s="4"/>
    </row>
    <row r="622" spans="1:1" ht="15.75" customHeight="1" x14ac:dyDescent="0.2">
      <c r="A622" s="4"/>
    </row>
    <row r="623" spans="1:1" ht="15.75" customHeight="1" x14ac:dyDescent="0.2">
      <c r="A623" s="4"/>
    </row>
    <row r="624" spans="1:1" ht="15.75" customHeight="1" x14ac:dyDescent="0.2">
      <c r="A624" s="4"/>
    </row>
    <row r="625" spans="1:1" ht="15.75" customHeight="1" x14ac:dyDescent="0.2">
      <c r="A625" s="4"/>
    </row>
    <row r="626" spans="1:1" ht="15.75" customHeight="1" x14ac:dyDescent="0.2">
      <c r="A626" s="4"/>
    </row>
    <row r="627" spans="1:1" ht="15.75" customHeight="1" x14ac:dyDescent="0.2">
      <c r="A627" s="4"/>
    </row>
    <row r="628" spans="1:1" ht="15.75" customHeight="1" x14ac:dyDescent="0.2">
      <c r="A628" s="4"/>
    </row>
    <row r="629" spans="1:1" ht="15.75" customHeight="1" x14ac:dyDescent="0.2">
      <c r="A629" s="4"/>
    </row>
    <row r="630" spans="1:1" ht="15.75" customHeight="1" x14ac:dyDescent="0.2">
      <c r="A630" s="4"/>
    </row>
    <row r="631" spans="1:1" ht="15.75" customHeight="1" x14ac:dyDescent="0.2">
      <c r="A631" s="4"/>
    </row>
    <row r="632" spans="1:1" ht="15.75" customHeight="1" x14ac:dyDescent="0.2">
      <c r="A632" s="4"/>
    </row>
    <row r="633" spans="1:1" ht="15.75" customHeight="1" x14ac:dyDescent="0.2">
      <c r="A633" s="4"/>
    </row>
    <row r="634" spans="1:1" ht="15.75" customHeight="1" x14ac:dyDescent="0.2">
      <c r="A634" s="4"/>
    </row>
    <row r="635" spans="1:1" ht="15.75" customHeight="1" x14ac:dyDescent="0.2">
      <c r="A635" s="4"/>
    </row>
    <row r="636" spans="1:1" ht="15.75" customHeight="1" x14ac:dyDescent="0.2">
      <c r="A636" s="4"/>
    </row>
    <row r="637" spans="1:1" ht="15.75" customHeight="1" x14ac:dyDescent="0.2">
      <c r="A637" s="4"/>
    </row>
    <row r="638" spans="1:1" ht="15.75" customHeight="1" x14ac:dyDescent="0.2">
      <c r="A638" s="4"/>
    </row>
    <row r="639" spans="1:1" ht="15.75" customHeight="1" x14ac:dyDescent="0.2">
      <c r="A639" s="4"/>
    </row>
    <row r="640" spans="1:1" ht="15.75" customHeight="1" x14ac:dyDescent="0.2">
      <c r="A640" s="4"/>
    </row>
    <row r="641" spans="1:1" ht="15.75" customHeight="1" x14ac:dyDescent="0.2">
      <c r="A641" s="4"/>
    </row>
    <row r="642" spans="1:1" ht="15.75" customHeight="1" x14ac:dyDescent="0.2">
      <c r="A642" s="4"/>
    </row>
    <row r="643" spans="1:1" ht="15.75" customHeight="1" x14ac:dyDescent="0.2">
      <c r="A643" s="4"/>
    </row>
    <row r="644" spans="1:1" ht="15.75" customHeight="1" x14ac:dyDescent="0.2">
      <c r="A644" s="4"/>
    </row>
    <row r="645" spans="1:1" ht="15.75" customHeight="1" x14ac:dyDescent="0.2">
      <c r="A645" s="4"/>
    </row>
    <row r="646" spans="1:1" ht="15.75" customHeight="1" x14ac:dyDescent="0.2">
      <c r="A646" s="4"/>
    </row>
    <row r="647" spans="1:1" ht="15.75" customHeight="1" x14ac:dyDescent="0.2">
      <c r="A647" s="4"/>
    </row>
    <row r="648" spans="1:1" ht="15.75" customHeight="1" x14ac:dyDescent="0.2">
      <c r="A648" s="4"/>
    </row>
    <row r="649" spans="1:1" ht="15.75" customHeight="1" x14ac:dyDescent="0.2">
      <c r="A649" s="4"/>
    </row>
    <row r="650" spans="1:1" ht="15.75" customHeight="1" x14ac:dyDescent="0.2">
      <c r="A650" s="4"/>
    </row>
    <row r="651" spans="1:1" ht="15.75" customHeight="1" x14ac:dyDescent="0.2">
      <c r="A651" s="4"/>
    </row>
    <row r="652" spans="1:1" ht="15.75" customHeight="1" x14ac:dyDescent="0.2">
      <c r="A652" s="4"/>
    </row>
    <row r="653" spans="1:1" ht="15.75" customHeight="1" x14ac:dyDescent="0.2">
      <c r="A653" s="4"/>
    </row>
    <row r="654" spans="1:1" ht="15.75" customHeight="1" x14ac:dyDescent="0.2">
      <c r="A654" s="4"/>
    </row>
    <row r="655" spans="1:1" ht="15.75" customHeight="1" x14ac:dyDescent="0.2">
      <c r="A655" s="4"/>
    </row>
    <row r="656" spans="1:1" ht="15.75" customHeight="1" x14ac:dyDescent="0.2">
      <c r="A656" s="4"/>
    </row>
    <row r="657" spans="1:1" ht="15.75" customHeight="1" x14ac:dyDescent="0.2">
      <c r="A657" s="4"/>
    </row>
    <row r="658" spans="1:1" ht="15.75" customHeight="1" x14ac:dyDescent="0.2">
      <c r="A658" s="4"/>
    </row>
    <row r="659" spans="1:1" ht="15.75" customHeight="1" x14ac:dyDescent="0.2">
      <c r="A659" s="4"/>
    </row>
    <row r="660" spans="1:1" ht="15.75" customHeight="1" x14ac:dyDescent="0.2">
      <c r="A660" s="4"/>
    </row>
    <row r="661" spans="1:1" ht="15.75" customHeight="1" x14ac:dyDescent="0.2">
      <c r="A661" s="4"/>
    </row>
    <row r="662" spans="1:1" ht="15.75" customHeight="1" x14ac:dyDescent="0.2">
      <c r="A662" s="4"/>
    </row>
    <row r="663" spans="1:1" ht="15.75" customHeight="1" x14ac:dyDescent="0.2">
      <c r="A663" s="4"/>
    </row>
    <row r="664" spans="1:1" ht="15.75" customHeight="1" x14ac:dyDescent="0.2">
      <c r="A664" s="4"/>
    </row>
    <row r="665" spans="1:1" ht="15.75" customHeight="1" x14ac:dyDescent="0.2">
      <c r="A665" s="4"/>
    </row>
    <row r="666" spans="1:1" ht="15.75" customHeight="1" x14ac:dyDescent="0.2">
      <c r="A666" s="4"/>
    </row>
    <row r="667" spans="1:1" ht="15.75" customHeight="1" x14ac:dyDescent="0.2">
      <c r="A667" s="4"/>
    </row>
    <row r="668" spans="1:1" ht="15.75" customHeight="1" x14ac:dyDescent="0.2">
      <c r="A668" s="4"/>
    </row>
    <row r="669" spans="1:1" ht="15.75" customHeight="1" x14ac:dyDescent="0.2">
      <c r="A669" s="4"/>
    </row>
    <row r="670" spans="1:1" ht="15.75" customHeight="1" x14ac:dyDescent="0.2">
      <c r="A670" s="4"/>
    </row>
    <row r="671" spans="1:1" ht="15.75" customHeight="1" x14ac:dyDescent="0.2">
      <c r="A671" s="4"/>
    </row>
    <row r="672" spans="1:1" ht="15.75" customHeight="1" x14ac:dyDescent="0.2">
      <c r="A672" s="4"/>
    </row>
    <row r="673" spans="1:1" ht="15.75" customHeight="1" x14ac:dyDescent="0.2">
      <c r="A673" s="4"/>
    </row>
    <row r="674" spans="1:1" ht="15.75" customHeight="1" x14ac:dyDescent="0.2">
      <c r="A674" s="4"/>
    </row>
    <row r="675" spans="1:1" ht="15.75" customHeight="1" x14ac:dyDescent="0.2">
      <c r="A675" s="4"/>
    </row>
    <row r="676" spans="1:1" ht="15.75" customHeight="1" x14ac:dyDescent="0.2">
      <c r="A676" s="4"/>
    </row>
    <row r="677" spans="1:1" ht="15.75" customHeight="1" x14ac:dyDescent="0.2">
      <c r="A677" s="4"/>
    </row>
    <row r="678" spans="1:1" ht="15.75" customHeight="1" x14ac:dyDescent="0.2">
      <c r="A678" s="4"/>
    </row>
    <row r="679" spans="1:1" ht="15.75" customHeight="1" x14ac:dyDescent="0.2">
      <c r="A679" s="4"/>
    </row>
    <row r="680" spans="1:1" ht="15.75" customHeight="1" x14ac:dyDescent="0.2">
      <c r="A680" s="4"/>
    </row>
    <row r="681" spans="1:1" ht="15.75" customHeight="1" x14ac:dyDescent="0.2">
      <c r="A681" s="4"/>
    </row>
    <row r="682" spans="1:1" ht="15.75" customHeight="1" x14ac:dyDescent="0.2">
      <c r="A682" s="4"/>
    </row>
    <row r="683" spans="1:1" ht="15.75" customHeight="1" x14ac:dyDescent="0.2">
      <c r="A683" s="4"/>
    </row>
    <row r="684" spans="1:1" ht="15.75" customHeight="1" x14ac:dyDescent="0.2">
      <c r="A684" s="4"/>
    </row>
    <row r="685" spans="1:1" ht="15.75" customHeight="1" x14ac:dyDescent="0.2">
      <c r="A685" s="4"/>
    </row>
    <row r="686" spans="1:1" ht="15.75" customHeight="1" x14ac:dyDescent="0.2">
      <c r="A686" s="4"/>
    </row>
    <row r="687" spans="1:1" ht="15.75" customHeight="1" x14ac:dyDescent="0.2">
      <c r="A687" s="4"/>
    </row>
    <row r="688" spans="1:1" ht="15.75" customHeight="1" x14ac:dyDescent="0.2">
      <c r="A688" s="4"/>
    </row>
    <row r="689" spans="1:1" ht="15.75" customHeight="1" x14ac:dyDescent="0.2">
      <c r="A689" s="4"/>
    </row>
    <row r="690" spans="1:1" ht="15.75" customHeight="1" x14ac:dyDescent="0.2">
      <c r="A690" s="4"/>
    </row>
    <row r="691" spans="1:1" ht="15.75" customHeight="1" x14ac:dyDescent="0.2">
      <c r="A691" s="4"/>
    </row>
    <row r="692" spans="1:1" ht="15.75" customHeight="1" x14ac:dyDescent="0.2">
      <c r="A692" s="4"/>
    </row>
    <row r="693" spans="1:1" ht="15.75" customHeight="1" x14ac:dyDescent="0.2">
      <c r="A693" s="4"/>
    </row>
    <row r="694" spans="1:1" ht="15.75" customHeight="1" x14ac:dyDescent="0.2">
      <c r="A694" s="4"/>
    </row>
    <row r="695" spans="1:1" ht="15.75" customHeight="1" x14ac:dyDescent="0.2">
      <c r="A695" s="4"/>
    </row>
    <row r="696" spans="1:1" ht="15.75" customHeight="1" x14ac:dyDescent="0.2">
      <c r="A696" s="4"/>
    </row>
    <row r="697" spans="1:1" ht="15.75" customHeight="1" x14ac:dyDescent="0.2">
      <c r="A697" s="4"/>
    </row>
    <row r="698" spans="1:1" ht="15.75" customHeight="1" x14ac:dyDescent="0.2">
      <c r="A698" s="4"/>
    </row>
    <row r="699" spans="1:1" ht="15.75" customHeight="1" x14ac:dyDescent="0.2">
      <c r="A699" s="4"/>
    </row>
    <row r="700" spans="1:1" ht="15.75" customHeight="1" x14ac:dyDescent="0.2">
      <c r="A700" s="4"/>
    </row>
    <row r="701" spans="1:1" ht="15.75" customHeight="1" x14ac:dyDescent="0.2">
      <c r="A701" s="4"/>
    </row>
    <row r="702" spans="1:1" ht="15.75" customHeight="1" x14ac:dyDescent="0.2">
      <c r="A702" s="4"/>
    </row>
    <row r="703" spans="1:1" ht="15.75" customHeight="1" x14ac:dyDescent="0.2">
      <c r="A703" s="4"/>
    </row>
    <row r="704" spans="1:1" ht="15.75" customHeight="1" x14ac:dyDescent="0.2">
      <c r="A704" s="4"/>
    </row>
    <row r="705" spans="1:1" ht="15.75" customHeight="1" x14ac:dyDescent="0.2">
      <c r="A705" s="4"/>
    </row>
    <row r="706" spans="1:1" ht="15.75" customHeight="1" x14ac:dyDescent="0.2">
      <c r="A706" s="4"/>
    </row>
    <row r="707" spans="1:1" ht="15.75" customHeight="1" x14ac:dyDescent="0.2">
      <c r="A707" s="4"/>
    </row>
    <row r="708" spans="1:1" ht="15.75" customHeight="1" x14ac:dyDescent="0.2">
      <c r="A708" s="4"/>
    </row>
    <row r="709" spans="1:1" ht="15.75" customHeight="1" x14ac:dyDescent="0.2">
      <c r="A709" s="4"/>
    </row>
    <row r="710" spans="1:1" ht="15.75" customHeight="1" x14ac:dyDescent="0.2">
      <c r="A710" s="4"/>
    </row>
    <row r="711" spans="1:1" ht="15.75" customHeight="1" x14ac:dyDescent="0.2">
      <c r="A711" s="4"/>
    </row>
    <row r="712" spans="1:1" ht="15.75" customHeight="1" x14ac:dyDescent="0.2">
      <c r="A712" s="4"/>
    </row>
    <row r="713" spans="1:1" ht="15.75" customHeight="1" x14ac:dyDescent="0.2">
      <c r="A713" s="4"/>
    </row>
    <row r="714" spans="1:1" ht="15.75" customHeight="1" x14ac:dyDescent="0.2">
      <c r="A714" s="4"/>
    </row>
    <row r="715" spans="1:1" ht="15.75" customHeight="1" x14ac:dyDescent="0.2">
      <c r="A715" s="4"/>
    </row>
    <row r="716" spans="1:1" ht="15.75" customHeight="1" x14ac:dyDescent="0.2">
      <c r="A716" s="4"/>
    </row>
    <row r="717" spans="1:1" ht="15.75" customHeight="1" x14ac:dyDescent="0.2">
      <c r="A717" s="4"/>
    </row>
    <row r="718" spans="1:1" ht="15.75" customHeight="1" x14ac:dyDescent="0.2">
      <c r="A718" s="4"/>
    </row>
    <row r="719" spans="1:1" ht="15.75" customHeight="1" x14ac:dyDescent="0.2">
      <c r="A719" s="4"/>
    </row>
    <row r="720" spans="1:1" ht="15.75" customHeight="1" x14ac:dyDescent="0.2">
      <c r="A720" s="4"/>
    </row>
    <row r="721" spans="1:1" ht="15.75" customHeight="1" x14ac:dyDescent="0.2">
      <c r="A721" s="4"/>
    </row>
    <row r="722" spans="1:1" ht="15.75" customHeight="1" x14ac:dyDescent="0.2">
      <c r="A722" s="4"/>
    </row>
    <row r="723" spans="1:1" ht="15.75" customHeight="1" x14ac:dyDescent="0.2">
      <c r="A723" s="4"/>
    </row>
    <row r="724" spans="1:1" ht="15.75" customHeight="1" x14ac:dyDescent="0.2">
      <c r="A724" s="4"/>
    </row>
    <row r="725" spans="1:1" ht="15.75" customHeight="1" x14ac:dyDescent="0.2">
      <c r="A725" s="4"/>
    </row>
    <row r="726" spans="1:1" ht="15.75" customHeight="1" x14ac:dyDescent="0.2">
      <c r="A726" s="4"/>
    </row>
    <row r="727" spans="1:1" ht="15.75" customHeight="1" x14ac:dyDescent="0.2">
      <c r="A727" s="4"/>
    </row>
    <row r="728" spans="1:1" ht="15.75" customHeight="1" x14ac:dyDescent="0.2">
      <c r="A728" s="4"/>
    </row>
    <row r="729" spans="1:1" ht="15.75" customHeight="1" x14ac:dyDescent="0.2">
      <c r="A729" s="4"/>
    </row>
    <row r="730" spans="1:1" ht="15.75" customHeight="1" x14ac:dyDescent="0.2">
      <c r="A730" s="4"/>
    </row>
    <row r="731" spans="1:1" ht="15.75" customHeight="1" x14ac:dyDescent="0.2">
      <c r="A731" s="4"/>
    </row>
    <row r="732" spans="1:1" ht="15.75" customHeight="1" x14ac:dyDescent="0.2">
      <c r="A732" s="4"/>
    </row>
    <row r="733" spans="1:1" ht="15.75" customHeight="1" x14ac:dyDescent="0.2">
      <c r="A733" s="4"/>
    </row>
    <row r="734" spans="1:1" ht="15.75" customHeight="1" x14ac:dyDescent="0.2">
      <c r="A734" s="4"/>
    </row>
    <row r="735" spans="1:1" ht="15.75" customHeight="1" x14ac:dyDescent="0.2">
      <c r="A735" s="4"/>
    </row>
    <row r="736" spans="1:1" ht="15.75" customHeight="1" x14ac:dyDescent="0.2">
      <c r="A736" s="4"/>
    </row>
    <row r="737" spans="1:1" ht="15.75" customHeight="1" x14ac:dyDescent="0.2">
      <c r="A737" s="4"/>
    </row>
    <row r="738" spans="1:1" ht="15.75" customHeight="1" x14ac:dyDescent="0.2">
      <c r="A738" s="4"/>
    </row>
    <row r="739" spans="1:1" ht="15.75" customHeight="1" x14ac:dyDescent="0.2">
      <c r="A739" s="4"/>
    </row>
    <row r="740" spans="1:1" ht="15.75" customHeight="1" x14ac:dyDescent="0.2">
      <c r="A740" s="4"/>
    </row>
    <row r="741" spans="1:1" ht="15.75" customHeight="1" x14ac:dyDescent="0.2">
      <c r="A741" s="4"/>
    </row>
    <row r="742" spans="1:1" ht="15.75" customHeight="1" x14ac:dyDescent="0.2">
      <c r="A742" s="4"/>
    </row>
    <row r="743" spans="1:1" ht="15.75" customHeight="1" x14ac:dyDescent="0.2">
      <c r="A743" s="4"/>
    </row>
    <row r="744" spans="1:1" ht="15.75" customHeight="1" x14ac:dyDescent="0.2">
      <c r="A744" s="4"/>
    </row>
    <row r="745" spans="1:1" ht="15.75" customHeight="1" x14ac:dyDescent="0.2">
      <c r="A745" s="4"/>
    </row>
    <row r="746" spans="1:1" ht="15.75" customHeight="1" x14ac:dyDescent="0.2">
      <c r="A746" s="4"/>
    </row>
    <row r="747" spans="1:1" ht="15.75" customHeight="1" x14ac:dyDescent="0.2">
      <c r="A747" s="4"/>
    </row>
    <row r="748" spans="1:1" ht="15.75" customHeight="1" x14ac:dyDescent="0.2">
      <c r="A748" s="4"/>
    </row>
    <row r="749" spans="1:1" ht="15.75" customHeight="1" x14ac:dyDescent="0.2">
      <c r="A749" s="4"/>
    </row>
    <row r="750" spans="1:1" ht="15.75" customHeight="1" x14ac:dyDescent="0.2">
      <c r="A750" s="4"/>
    </row>
    <row r="751" spans="1:1" ht="15.75" customHeight="1" x14ac:dyDescent="0.2">
      <c r="A751" s="4"/>
    </row>
    <row r="752" spans="1:1" ht="15.75" customHeight="1" x14ac:dyDescent="0.2">
      <c r="A752" s="4"/>
    </row>
    <row r="753" spans="1:1" ht="15.75" customHeight="1" x14ac:dyDescent="0.2">
      <c r="A753" s="4"/>
    </row>
    <row r="754" spans="1:1" ht="15.75" customHeight="1" x14ac:dyDescent="0.2">
      <c r="A754" s="4"/>
    </row>
    <row r="755" spans="1:1" ht="15.75" customHeight="1" x14ac:dyDescent="0.2">
      <c r="A755" s="4"/>
    </row>
    <row r="756" spans="1:1" ht="15.75" customHeight="1" x14ac:dyDescent="0.2">
      <c r="A756" s="4"/>
    </row>
    <row r="757" spans="1:1" ht="15.75" customHeight="1" x14ac:dyDescent="0.2">
      <c r="A757" s="4"/>
    </row>
    <row r="758" spans="1:1" ht="15.75" customHeight="1" x14ac:dyDescent="0.2">
      <c r="A758" s="4"/>
    </row>
    <row r="759" spans="1:1" ht="15.75" customHeight="1" x14ac:dyDescent="0.2">
      <c r="A759" s="4"/>
    </row>
    <row r="760" spans="1:1" ht="15.75" customHeight="1" x14ac:dyDescent="0.2">
      <c r="A760" s="4"/>
    </row>
    <row r="761" spans="1:1" ht="15.75" customHeight="1" x14ac:dyDescent="0.2">
      <c r="A761" s="4"/>
    </row>
    <row r="762" spans="1:1" ht="15.75" customHeight="1" x14ac:dyDescent="0.2">
      <c r="A762" s="4"/>
    </row>
    <row r="763" spans="1:1" ht="15.75" customHeight="1" x14ac:dyDescent="0.2">
      <c r="A763" s="4"/>
    </row>
    <row r="764" spans="1:1" ht="15.75" customHeight="1" x14ac:dyDescent="0.2">
      <c r="A764" s="4"/>
    </row>
    <row r="765" spans="1:1" ht="15.75" customHeight="1" x14ac:dyDescent="0.2">
      <c r="A765" s="4"/>
    </row>
    <row r="766" spans="1:1" ht="15.75" customHeight="1" x14ac:dyDescent="0.2">
      <c r="A766" s="4"/>
    </row>
    <row r="767" spans="1:1" ht="15.75" customHeight="1" x14ac:dyDescent="0.2">
      <c r="A767" s="4"/>
    </row>
    <row r="768" spans="1:1" ht="15.75" customHeight="1" x14ac:dyDescent="0.2">
      <c r="A768" s="4"/>
    </row>
    <row r="769" spans="1:1" ht="15.75" customHeight="1" x14ac:dyDescent="0.2">
      <c r="A769" s="4"/>
    </row>
    <row r="770" spans="1:1" ht="15.75" customHeight="1" x14ac:dyDescent="0.2">
      <c r="A770" s="4"/>
    </row>
    <row r="771" spans="1:1" ht="15.75" customHeight="1" x14ac:dyDescent="0.2">
      <c r="A771" s="4"/>
    </row>
    <row r="772" spans="1:1" ht="15.75" customHeight="1" x14ac:dyDescent="0.2">
      <c r="A772" s="4"/>
    </row>
    <row r="773" spans="1:1" ht="15.75" customHeight="1" x14ac:dyDescent="0.2">
      <c r="A773" s="4"/>
    </row>
    <row r="774" spans="1:1" ht="15.75" customHeight="1" x14ac:dyDescent="0.2">
      <c r="A774" s="4"/>
    </row>
    <row r="775" spans="1:1" ht="15.75" customHeight="1" x14ac:dyDescent="0.2">
      <c r="A775" s="4"/>
    </row>
    <row r="776" spans="1:1" ht="15.75" customHeight="1" x14ac:dyDescent="0.2">
      <c r="A776" s="4"/>
    </row>
    <row r="777" spans="1:1" ht="15.75" customHeight="1" x14ac:dyDescent="0.2">
      <c r="A777" s="4"/>
    </row>
    <row r="778" spans="1:1" ht="15.75" customHeight="1" x14ac:dyDescent="0.2">
      <c r="A778" s="4"/>
    </row>
    <row r="779" spans="1:1" ht="15.75" customHeight="1" x14ac:dyDescent="0.2">
      <c r="A779" s="4"/>
    </row>
    <row r="780" spans="1:1" ht="15.75" customHeight="1" x14ac:dyDescent="0.2">
      <c r="A780" s="4"/>
    </row>
    <row r="781" spans="1:1" ht="15.75" customHeight="1" x14ac:dyDescent="0.2">
      <c r="A781" s="4"/>
    </row>
    <row r="782" spans="1:1" ht="15.75" customHeight="1" x14ac:dyDescent="0.2">
      <c r="A782" s="4"/>
    </row>
    <row r="783" spans="1:1" ht="15.75" customHeight="1" x14ac:dyDescent="0.2">
      <c r="A783" s="4"/>
    </row>
    <row r="784" spans="1:1" ht="15.75" customHeight="1" x14ac:dyDescent="0.2">
      <c r="A784" s="4"/>
    </row>
    <row r="785" spans="1:1" ht="15.75" customHeight="1" x14ac:dyDescent="0.2">
      <c r="A785" s="4"/>
    </row>
    <row r="786" spans="1:1" ht="15.75" customHeight="1" x14ac:dyDescent="0.2">
      <c r="A786" s="4"/>
    </row>
    <row r="787" spans="1:1" ht="15.75" customHeight="1" x14ac:dyDescent="0.2">
      <c r="A787" s="4"/>
    </row>
    <row r="788" spans="1:1" ht="15.75" customHeight="1" x14ac:dyDescent="0.2">
      <c r="A788" s="4"/>
    </row>
    <row r="789" spans="1:1" ht="15.75" customHeight="1" x14ac:dyDescent="0.2">
      <c r="A789" s="4"/>
    </row>
    <row r="790" spans="1:1" ht="15.75" customHeight="1" x14ac:dyDescent="0.2">
      <c r="A790" s="4"/>
    </row>
    <row r="791" spans="1:1" ht="15.75" customHeight="1" x14ac:dyDescent="0.2">
      <c r="A791" s="4"/>
    </row>
    <row r="792" spans="1:1" ht="15.75" customHeight="1" x14ac:dyDescent="0.2">
      <c r="A792" s="4"/>
    </row>
    <row r="793" spans="1:1" ht="15.75" customHeight="1" x14ac:dyDescent="0.2">
      <c r="A793" s="4"/>
    </row>
    <row r="794" spans="1:1" ht="15.75" customHeight="1" x14ac:dyDescent="0.2">
      <c r="A794" s="4"/>
    </row>
    <row r="795" spans="1:1" ht="15.75" customHeight="1" x14ac:dyDescent="0.2">
      <c r="A795" s="4"/>
    </row>
    <row r="796" spans="1:1" ht="15.75" customHeight="1" x14ac:dyDescent="0.2">
      <c r="A796" s="4"/>
    </row>
    <row r="797" spans="1:1" ht="15.75" customHeight="1" x14ac:dyDescent="0.2">
      <c r="A797" s="4"/>
    </row>
    <row r="798" spans="1:1" ht="15.75" customHeight="1" x14ac:dyDescent="0.2">
      <c r="A798" s="4"/>
    </row>
    <row r="799" spans="1:1" ht="15.75" customHeight="1" x14ac:dyDescent="0.2">
      <c r="A799" s="4"/>
    </row>
    <row r="800" spans="1:1" ht="15.75" customHeight="1" x14ac:dyDescent="0.2">
      <c r="A800" s="4"/>
    </row>
    <row r="801" spans="1:1" ht="15.75" customHeight="1" x14ac:dyDescent="0.2">
      <c r="A801" s="4"/>
    </row>
    <row r="802" spans="1:1" ht="15.75" customHeight="1" x14ac:dyDescent="0.2">
      <c r="A802" s="4"/>
    </row>
    <row r="803" spans="1:1" ht="15.75" customHeight="1" x14ac:dyDescent="0.2">
      <c r="A803" s="4"/>
    </row>
    <row r="804" spans="1:1" ht="15.75" customHeight="1" x14ac:dyDescent="0.2">
      <c r="A804" s="4"/>
    </row>
    <row r="805" spans="1:1" ht="15.75" customHeight="1" x14ac:dyDescent="0.2">
      <c r="A805" s="4"/>
    </row>
    <row r="806" spans="1:1" ht="15.75" customHeight="1" x14ac:dyDescent="0.2">
      <c r="A806" s="4"/>
    </row>
    <row r="807" spans="1:1" ht="15.75" customHeight="1" x14ac:dyDescent="0.2">
      <c r="A807" s="4"/>
    </row>
    <row r="808" spans="1:1" ht="15.75" customHeight="1" x14ac:dyDescent="0.2">
      <c r="A808" s="4"/>
    </row>
    <row r="809" spans="1:1" ht="15.75" customHeight="1" x14ac:dyDescent="0.2">
      <c r="A809" s="4"/>
    </row>
    <row r="810" spans="1:1" ht="15.75" customHeight="1" x14ac:dyDescent="0.2">
      <c r="A810" s="4"/>
    </row>
    <row r="811" spans="1:1" ht="15.75" customHeight="1" x14ac:dyDescent="0.2">
      <c r="A811" s="4"/>
    </row>
    <row r="812" spans="1:1" ht="15.75" customHeight="1" x14ac:dyDescent="0.2">
      <c r="A812" s="4"/>
    </row>
    <row r="813" spans="1:1" ht="15.75" customHeight="1" x14ac:dyDescent="0.2">
      <c r="A813" s="4"/>
    </row>
    <row r="814" spans="1:1" ht="15.75" customHeight="1" x14ac:dyDescent="0.2">
      <c r="A814" s="4"/>
    </row>
    <row r="815" spans="1:1" ht="15.75" customHeight="1" x14ac:dyDescent="0.2">
      <c r="A815" s="4"/>
    </row>
    <row r="816" spans="1:1" ht="15.75" customHeight="1" x14ac:dyDescent="0.2">
      <c r="A816" s="4"/>
    </row>
    <row r="817" spans="1:1" ht="15.75" customHeight="1" x14ac:dyDescent="0.2">
      <c r="A817" s="4"/>
    </row>
    <row r="818" spans="1:1" ht="15.75" customHeight="1" x14ac:dyDescent="0.2">
      <c r="A818" s="4"/>
    </row>
    <row r="819" spans="1:1" ht="15.75" customHeight="1" x14ac:dyDescent="0.2">
      <c r="A819" s="4"/>
    </row>
    <row r="820" spans="1:1" ht="15.75" customHeight="1" x14ac:dyDescent="0.2">
      <c r="A820" s="4"/>
    </row>
    <row r="821" spans="1:1" ht="15.75" customHeight="1" x14ac:dyDescent="0.2">
      <c r="A821" s="4"/>
    </row>
    <row r="822" spans="1:1" ht="15.75" customHeight="1" x14ac:dyDescent="0.2">
      <c r="A822" s="4"/>
    </row>
    <row r="823" spans="1:1" ht="15.75" customHeight="1" x14ac:dyDescent="0.2">
      <c r="A823" s="4"/>
    </row>
    <row r="824" spans="1:1" ht="15.75" customHeight="1" x14ac:dyDescent="0.2">
      <c r="A824" s="4"/>
    </row>
    <row r="825" spans="1:1" ht="15.75" customHeight="1" x14ac:dyDescent="0.2">
      <c r="A825" s="4"/>
    </row>
    <row r="826" spans="1:1" ht="15.75" customHeight="1" x14ac:dyDescent="0.2">
      <c r="A826" s="4"/>
    </row>
    <row r="827" spans="1:1" ht="15.75" customHeight="1" x14ac:dyDescent="0.2">
      <c r="A827" s="4"/>
    </row>
    <row r="828" spans="1:1" ht="15.75" customHeight="1" x14ac:dyDescent="0.2">
      <c r="A828" s="4"/>
    </row>
    <row r="829" spans="1:1" ht="15.75" customHeight="1" x14ac:dyDescent="0.2">
      <c r="A829" s="4"/>
    </row>
    <row r="830" spans="1:1" ht="15.75" customHeight="1" x14ac:dyDescent="0.2">
      <c r="A830" s="4"/>
    </row>
    <row r="831" spans="1:1" ht="15.75" customHeight="1" x14ac:dyDescent="0.2">
      <c r="A831" s="4"/>
    </row>
    <row r="832" spans="1:1" ht="15.75" customHeight="1" x14ac:dyDescent="0.2">
      <c r="A832" s="4"/>
    </row>
    <row r="833" spans="1:1" ht="15.75" customHeight="1" x14ac:dyDescent="0.2">
      <c r="A833" s="4"/>
    </row>
    <row r="834" spans="1:1" ht="15.75" customHeight="1" x14ac:dyDescent="0.2">
      <c r="A834" s="4"/>
    </row>
    <row r="835" spans="1:1" ht="15.75" customHeight="1" x14ac:dyDescent="0.2">
      <c r="A835" s="4"/>
    </row>
    <row r="836" spans="1:1" ht="15.75" customHeight="1" x14ac:dyDescent="0.2">
      <c r="A836" s="4"/>
    </row>
    <row r="837" spans="1:1" ht="15.75" customHeight="1" x14ac:dyDescent="0.2">
      <c r="A837" s="4"/>
    </row>
    <row r="838" spans="1:1" ht="15.75" customHeight="1" x14ac:dyDescent="0.2">
      <c r="A838" s="4"/>
    </row>
    <row r="839" spans="1:1" ht="15.75" customHeight="1" x14ac:dyDescent="0.2">
      <c r="A839" s="4"/>
    </row>
    <row r="840" spans="1:1" ht="15.75" customHeight="1" x14ac:dyDescent="0.2">
      <c r="A840" s="4"/>
    </row>
    <row r="841" spans="1:1" ht="15.75" customHeight="1" x14ac:dyDescent="0.2">
      <c r="A841" s="4"/>
    </row>
    <row r="842" spans="1:1" ht="15.75" customHeight="1" x14ac:dyDescent="0.2">
      <c r="A842" s="4"/>
    </row>
    <row r="843" spans="1:1" ht="15.75" customHeight="1" x14ac:dyDescent="0.2">
      <c r="A843" s="4"/>
    </row>
    <row r="844" spans="1:1" ht="15.75" customHeight="1" x14ac:dyDescent="0.2">
      <c r="A844" s="4"/>
    </row>
    <row r="845" spans="1:1" ht="15.75" customHeight="1" x14ac:dyDescent="0.2">
      <c r="A845" s="4"/>
    </row>
    <row r="846" spans="1:1" ht="15.75" customHeight="1" x14ac:dyDescent="0.2">
      <c r="A846" s="4"/>
    </row>
    <row r="847" spans="1:1" ht="15.75" customHeight="1" x14ac:dyDescent="0.2">
      <c r="A847" s="4"/>
    </row>
    <row r="848" spans="1:1" ht="15.75" customHeight="1" x14ac:dyDescent="0.2">
      <c r="A848" s="4"/>
    </row>
    <row r="849" spans="1:1" ht="15.75" customHeight="1" x14ac:dyDescent="0.2">
      <c r="A849" s="4"/>
    </row>
    <row r="850" spans="1:1" ht="15.75" customHeight="1" x14ac:dyDescent="0.2">
      <c r="A850" s="4"/>
    </row>
    <row r="851" spans="1:1" ht="15.75" customHeight="1" x14ac:dyDescent="0.2">
      <c r="A851" s="4"/>
    </row>
    <row r="852" spans="1:1" ht="15.75" customHeight="1" x14ac:dyDescent="0.2">
      <c r="A852" s="4"/>
    </row>
    <row r="853" spans="1:1" ht="15.75" customHeight="1" x14ac:dyDescent="0.2">
      <c r="A853" s="4"/>
    </row>
    <row r="854" spans="1:1" ht="15.75" customHeight="1" x14ac:dyDescent="0.2">
      <c r="A854" s="4"/>
    </row>
    <row r="855" spans="1:1" ht="15.75" customHeight="1" x14ac:dyDescent="0.2">
      <c r="A855" s="4"/>
    </row>
    <row r="856" spans="1:1" ht="15.75" customHeight="1" x14ac:dyDescent="0.2">
      <c r="A856" s="4"/>
    </row>
    <row r="857" spans="1:1" ht="15.75" customHeight="1" x14ac:dyDescent="0.2">
      <c r="A857" s="4"/>
    </row>
    <row r="858" spans="1:1" ht="15.75" customHeight="1" x14ac:dyDescent="0.2">
      <c r="A858" s="4"/>
    </row>
    <row r="859" spans="1:1" ht="15.75" customHeight="1" x14ac:dyDescent="0.2">
      <c r="A859" s="4"/>
    </row>
    <row r="860" spans="1:1" ht="15.75" customHeight="1" x14ac:dyDescent="0.2">
      <c r="A860" s="4"/>
    </row>
    <row r="861" spans="1:1" ht="15.75" customHeight="1" x14ac:dyDescent="0.2">
      <c r="A861" s="4"/>
    </row>
    <row r="862" spans="1:1" ht="15.75" customHeight="1" x14ac:dyDescent="0.2">
      <c r="A862" s="4"/>
    </row>
    <row r="863" spans="1:1" ht="15.75" customHeight="1" x14ac:dyDescent="0.2">
      <c r="A863" s="4"/>
    </row>
    <row r="864" spans="1:1" ht="15.75" customHeight="1" x14ac:dyDescent="0.2">
      <c r="A864" s="4"/>
    </row>
    <row r="865" spans="1:1" ht="15.75" customHeight="1" x14ac:dyDescent="0.2">
      <c r="A865" s="4"/>
    </row>
    <row r="866" spans="1:1" ht="15.75" customHeight="1" x14ac:dyDescent="0.2">
      <c r="A866" s="4"/>
    </row>
    <row r="867" spans="1:1" ht="15.75" customHeight="1" x14ac:dyDescent="0.2">
      <c r="A867" s="4"/>
    </row>
    <row r="868" spans="1:1" ht="15.75" customHeight="1" x14ac:dyDescent="0.2">
      <c r="A868" s="4"/>
    </row>
    <row r="869" spans="1:1" ht="15.75" customHeight="1" x14ac:dyDescent="0.2">
      <c r="A869" s="4"/>
    </row>
    <row r="870" spans="1:1" ht="15.75" customHeight="1" x14ac:dyDescent="0.2">
      <c r="A870" s="4"/>
    </row>
    <row r="871" spans="1:1" ht="15.75" customHeight="1" x14ac:dyDescent="0.2">
      <c r="A871" s="4"/>
    </row>
    <row r="872" spans="1:1" ht="15.75" customHeight="1" x14ac:dyDescent="0.2">
      <c r="A872" s="4"/>
    </row>
    <row r="873" spans="1:1" ht="15.75" customHeight="1" x14ac:dyDescent="0.2">
      <c r="A873" s="4"/>
    </row>
    <row r="874" spans="1:1" ht="15.75" customHeight="1" x14ac:dyDescent="0.2">
      <c r="A874" s="4"/>
    </row>
    <row r="875" spans="1:1" ht="15.75" customHeight="1" x14ac:dyDescent="0.2">
      <c r="A875" s="4"/>
    </row>
    <row r="876" spans="1:1" ht="15.75" customHeight="1" x14ac:dyDescent="0.2">
      <c r="A876" s="4"/>
    </row>
    <row r="877" spans="1:1" ht="15.75" customHeight="1" x14ac:dyDescent="0.2">
      <c r="A877" s="4"/>
    </row>
    <row r="878" spans="1:1" ht="15.75" customHeight="1" x14ac:dyDescent="0.2">
      <c r="A878" s="4"/>
    </row>
    <row r="879" spans="1:1" ht="15.75" customHeight="1" x14ac:dyDescent="0.2">
      <c r="A879" s="4"/>
    </row>
    <row r="880" spans="1:1" ht="15.75" customHeight="1" x14ac:dyDescent="0.2">
      <c r="A880" s="4"/>
    </row>
    <row r="881" spans="1:1" ht="15.75" customHeight="1" x14ac:dyDescent="0.2">
      <c r="A881" s="4"/>
    </row>
    <row r="882" spans="1:1" ht="15.75" customHeight="1" x14ac:dyDescent="0.2">
      <c r="A882" s="4"/>
    </row>
    <row r="883" spans="1:1" ht="15.75" customHeight="1" x14ac:dyDescent="0.2">
      <c r="A883" s="4"/>
    </row>
    <row r="884" spans="1:1" ht="15.75" customHeight="1" x14ac:dyDescent="0.2">
      <c r="A884" s="4"/>
    </row>
    <row r="885" spans="1:1" ht="15.75" customHeight="1" x14ac:dyDescent="0.2">
      <c r="A885" s="4"/>
    </row>
    <row r="886" spans="1:1" ht="15.75" customHeight="1" x14ac:dyDescent="0.2">
      <c r="A886" s="4"/>
    </row>
    <row r="887" spans="1:1" ht="15.75" customHeight="1" x14ac:dyDescent="0.2">
      <c r="A887" s="4"/>
    </row>
    <row r="888" spans="1:1" ht="15.75" customHeight="1" x14ac:dyDescent="0.2">
      <c r="A888" s="4"/>
    </row>
    <row r="889" spans="1:1" ht="15.75" customHeight="1" x14ac:dyDescent="0.2">
      <c r="A889" s="4"/>
    </row>
    <row r="890" spans="1:1" ht="15.75" customHeight="1" x14ac:dyDescent="0.2">
      <c r="A890" s="4"/>
    </row>
    <row r="891" spans="1:1" ht="15.75" customHeight="1" x14ac:dyDescent="0.2">
      <c r="A891" s="4"/>
    </row>
    <row r="892" spans="1:1" ht="15.75" customHeight="1" x14ac:dyDescent="0.2">
      <c r="A892" s="4"/>
    </row>
    <row r="893" spans="1:1" ht="15.75" customHeight="1" x14ac:dyDescent="0.2">
      <c r="A893" s="4"/>
    </row>
    <row r="894" spans="1:1" ht="15.75" customHeight="1" x14ac:dyDescent="0.2">
      <c r="A894" s="4"/>
    </row>
    <row r="895" spans="1:1" ht="15.75" customHeight="1" x14ac:dyDescent="0.2">
      <c r="A895" s="4"/>
    </row>
    <row r="896" spans="1:1" ht="15.75" customHeight="1" x14ac:dyDescent="0.2">
      <c r="A896" s="4"/>
    </row>
    <row r="897" spans="1:1" ht="15.75" customHeight="1" x14ac:dyDescent="0.2">
      <c r="A897" s="4"/>
    </row>
    <row r="898" spans="1:1" ht="15.75" customHeight="1" x14ac:dyDescent="0.2">
      <c r="A898" s="4"/>
    </row>
    <row r="899" spans="1:1" ht="15.75" customHeight="1" x14ac:dyDescent="0.2">
      <c r="A899" s="4"/>
    </row>
    <row r="900" spans="1:1" ht="15.75" customHeight="1" x14ac:dyDescent="0.2">
      <c r="A900" s="4"/>
    </row>
    <row r="901" spans="1:1" ht="15.75" customHeight="1" x14ac:dyDescent="0.2">
      <c r="A901" s="4"/>
    </row>
    <row r="902" spans="1:1" ht="15.75" customHeight="1" x14ac:dyDescent="0.2">
      <c r="A902" s="4"/>
    </row>
    <row r="903" spans="1:1" ht="15.75" customHeight="1" x14ac:dyDescent="0.2">
      <c r="A903" s="4"/>
    </row>
    <row r="904" spans="1:1" ht="15.75" customHeight="1" x14ac:dyDescent="0.2">
      <c r="A904" s="4"/>
    </row>
    <row r="905" spans="1:1" ht="15.75" customHeight="1" x14ac:dyDescent="0.2">
      <c r="A905" s="4"/>
    </row>
    <row r="906" spans="1:1" ht="15.75" customHeight="1" x14ac:dyDescent="0.2">
      <c r="A906" s="4"/>
    </row>
    <row r="907" spans="1:1" ht="15.75" customHeight="1" x14ac:dyDescent="0.2">
      <c r="A907" s="4"/>
    </row>
    <row r="908" spans="1:1" ht="15.75" customHeight="1" x14ac:dyDescent="0.2">
      <c r="A908" s="4"/>
    </row>
    <row r="909" spans="1:1" ht="15.75" customHeight="1" x14ac:dyDescent="0.2">
      <c r="A909" s="4"/>
    </row>
    <row r="910" spans="1:1" ht="15.75" customHeight="1" x14ac:dyDescent="0.2">
      <c r="A910" s="4"/>
    </row>
    <row r="911" spans="1:1" ht="15.75" customHeight="1" x14ac:dyDescent="0.2">
      <c r="A911" s="4"/>
    </row>
    <row r="912" spans="1:1" ht="15.75" customHeight="1" x14ac:dyDescent="0.2">
      <c r="A912" s="4"/>
    </row>
    <row r="913" spans="1:1" ht="15.75" customHeight="1" x14ac:dyDescent="0.2">
      <c r="A913" s="4"/>
    </row>
    <row r="914" spans="1:1" ht="15.75" customHeight="1" x14ac:dyDescent="0.2">
      <c r="A914" s="4"/>
    </row>
    <row r="915" spans="1:1" ht="15.75" customHeight="1" x14ac:dyDescent="0.2">
      <c r="A915" s="4"/>
    </row>
    <row r="916" spans="1:1" ht="15.75" customHeight="1" x14ac:dyDescent="0.2">
      <c r="A916" s="4"/>
    </row>
    <row r="917" spans="1:1" ht="15.75" customHeight="1" x14ac:dyDescent="0.2">
      <c r="A917" s="4"/>
    </row>
    <row r="918" spans="1:1" ht="15.75" customHeight="1" x14ac:dyDescent="0.2">
      <c r="A918" s="4"/>
    </row>
    <row r="919" spans="1:1" ht="15.75" customHeight="1" x14ac:dyDescent="0.2">
      <c r="A919" s="4"/>
    </row>
    <row r="920" spans="1:1" ht="15.75" customHeight="1" x14ac:dyDescent="0.2">
      <c r="A920" s="4"/>
    </row>
    <row r="921" spans="1:1" ht="15.75" customHeight="1" x14ac:dyDescent="0.2">
      <c r="A921" s="4"/>
    </row>
    <row r="922" spans="1:1" ht="15.75" customHeight="1" x14ac:dyDescent="0.2">
      <c r="A922" s="4"/>
    </row>
    <row r="923" spans="1:1" ht="15.75" customHeight="1" x14ac:dyDescent="0.2">
      <c r="A923" s="4"/>
    </row>
    <row r="924" spans="1:1" ht="15.75" customHeight="1" x14ac:dyDescent="0.2">
      <c r="A924" s="4"/>
    </row>
    <row r="925" spans="1:1" ht="15.75" customHeight="1" x14ac:dyDescent="0.2">
      <c r="A925" s="4"/>
    </row>
    <row r="926" spans="1:1" ht="15.75" customHeight="1" x14ac:dyDescent="0.2">
      <c r="A926" s="4"/>
    </row>
    <row r="927" spans="1:1" ht="15.75" customHeight="1" x14ac:dyDescent="0.2">
      <c r="A927" s="4"/>
    </row>
    <row r="928" spans="1:1" ht="15.75" customHeight="1" x14ac:dyDescent="0.2">
      <c r="A928" s="4"/>
    </row>
    <row r="929" spans="1:1" ht="15.75" customHeight="1" x14ac:dyDescent="0.2">
      <c r="A929" s="4"/>
    </row>
    <row r="930" spans="1:1" ht="15.75" customHeight="1" x14ac:dyDescent="0.2">
      <c r="A930" s="4"/>
    </row>
    <row r="931" spans="1:1" ht="15.75" customHeight="1" x14ac:dyDescent="0.2">
      <c r="A931" s="4"/>
    </row>
    <row r="932" spans="1:1" ht="15.75" customHeight="1" x14ac:dyDescent="0.2">
      <c r="A932" s="4"/>
    </row>
    <row r="933" spans="1:1" ht="15.75" customHeight="1" x14ac:dyDescent="0.2">
      <c r="A933" s="4"/>
    </row>
    <row r="934" spans="1:1" ht="15.75" customHeight="1" x14ac:dyDescent="0.2">
      <c r="A934" s="4"/>
    </row>
    <row r="935" spans="1:1" ht="15.75" customHeight="1" x14ac:dyDescent="0.2">
      <c r="A935" s="4"/>
    </row>
    <row r="936" spans="1:1" ht="15.75" customHeight="1" x14ac:dyDescent="0.2">
      <c r="A936" s="4"/>
    </row>
    <row r="937" spans="1:1" ht="15.75" customHeight="1" x14ac:dyDescent="0.2">
      <c r="A937" s="4"/>
    </row>
    <row r="938" spans="1:1" ht="15.75" customHeight="1" x14ac:dyDescent="0.2">
      <c r="A938" s="4"/>
    </row>
    <row r="939" spans="1:1" ht="15.75" customHeight="1" x14ac:dyDescent="0.2">
      <c r="A939" s="4"/>
    </row>
    <row r="940" spans="1:1" ht="15.75" customHeight="1" x14ac:dyDescent="0.2">
      <c r="A940" s="4"/>
    </row>
    <row r="941" spans="1:1" ht="15.75" customHeight="1" x14ac:dyDescent="0.2">
      <c r="A941" s="4"/>
    </row>
    <row r="942" spans="1:1" ht="15.75" customHeight="1" x14ac:dyDescent="0.2">
      <c r="A942" s="4"/>
    </row>
    <row r="943" spans="1:1" ht="15.75" customHeight="1" x14ac:dyDescent="0.2">
      <c r="A943" s="4"/>
    </row>
    <row r="944" spans="1:1" ht="15.75" customHeight="1" x14ac:dyDescent="0.2">
      <c r="A944" s="4"/>
    </row>
    <row r="945" spans="1:1" ht="15.75" customHeight="1" x14ac:dyDescent="0.2">
      <c r="A945" s="4"/>
    </row>
    <row r="946" spans="1:1" ht="15.75" customHeight="1" x14ac:dyDescent="0.2">
      <c r="A946" s="4"/>
    </row>
    <row r="947" spans="1:1" ht="15.75" customHeight="1" x14ac:dyDescent="0.2">
      <c r="A947" s="4"/>
    </row>
    <row r="948" spans="1:1" ht="15.75" customHeight="1" x14ac:dyDescent="0.2">
      <c r="A948" s="4"/>
    </row>
    <row r="949" spans="1:1" ht="15.75" customHeight="1" x14ac:dyDescent="0.2">
      <c r="A949" s="4"/>
    </row>
    <row r="950" spans="1:1" ht="15.75" customHeight="1" x14ac:dyDescent="0.2">
      <c r="A950" s="4"/>
    </row>
    <row r="951" spans="1:1" ht="15.75" customHeight="1" x14ac:dyDescent="0.2">
      <c r="A951" s="4"/>
    </row>
    <row r="952" spans="1:1" ht="15.75" customHeight="1" x14ac:dyDescent="0.2">
      <c r="A952" s="4"/>
    </row>
    <row r="953" spans="1:1" ht="15.75" customHeight="1" x14ac:dyDescent="0.2">
      <c r="A953" s="4"/>
    </row>
    <row r="954" spans="1:1" ht="15.75" customHeight="1" x14ac:dyDescent="0.2">
      <c r="A954" s="4"/>
    </row>
    <row r="955" spans="1:1" ht="15.75" customHeight="1" x14ac:dyDescent="0.2">
      <c r="A955" s="4"/>
    </row>
    <row r="956" spans="1:1" ht="15.75" customHeight="1" x14ac:dyDescent="0.2">
      <c r="A956" s="4"/>
    </row>
    <row r="957" spans="1:1" ht="15.75" customHeight="1" x14ac:dyDescent="0.2">
      <c r="A957" s="4"/>
    </row>
    <row r="958" spans="1:1" ht="15.75" customHeight="1" x14ac:dyDescent="0.2">
      <c r="A958" s="4"/>
    </row>
    <row r="959" spans="1:1" ht="15.75" customHeight="1" x14ac:dyDescent="0.2">
      <c r="A959" s="4"/>
    </row>
    <row r="960" spans="1:1" ht="15.75" customHeight="1" x14ac:dyDescent="0.2">
      <c r="A960" s="4"/>
    </row>
    <row r="961" spans="1:1" ht="15.75" customHeight="1" x14ac:dyDescent="0.2">
      <c r="A961" s="4"/>
    </row>
    <row r="962" spans="1:1" ht="15.75" customHeight="1" x14ac:dyDescent="0.2">
      <c r="A962" s="4"/>
    </row>
    <row r="963" spans="1:1" ht="15.75" customHeight="1" x14ac:dyDescent="0.2">
      <c r="A963" s="4"/>
    </row>
    <row r="964" spans="1:1" ht="15.75" customHeight="1" x14ac:dyDescent="0.2">
      <c r="A964" s="4"/>
    </row>
    <row r="965" spans="1:1" ht="15.75" customHeight="1" x14ac:dyDescent="0.2">
      <c r="A965" s="4"/>
    </row>
    <row r="966" spans="1:1" ht="15.75" customHeight="1" x14ac:dyDescent="0.2">
      <c r="A966" s="4"/>
    </row>
    <row r="967" spans="1:1" ht="15.75" customHeight="1" x14ac:dyDescent="0.2">
      <c r="A967" s="4"/>
    </row>
    <row r="968" spans="1:1" ht="15.75" customHeight="1" x14ac:dyDescent="0.2">
      <c r="A968" s="4"/>
    </row>
    <row r="969" spans="1:1" ht="15.75" customHeight="1" x14ac:dyDescent="0.2">
      <c r="A969" s="4"/>
    </row>
    <row r="970" spans="1:1" ht="15.75" customHeight="1" x14ac:dyDescent="0.2">
      <c r="A970" s="4"/>
    </row>
    <row r="971" spans="1:1" ht="15.75" customHeight="1" x14ac:dyDescent="0.2">
      <c r="A971" s="4"/>
    </row>
    <row r="972" spans="1:1" ht="15.75" customHeight="1" x14ac:dyDescent="0.2">
      <c r="A972" s="4"/>
    </row>
    <row r="973" spans="1:1" ht="15.75" customHeight="1" x14ac:dyDescent="0.2">
      <c r="A973" s="4"/>
    </row>
    <row r="974" spans="1:1" ht="15.75" customHeight="1" x14ac:dyDescent="0.2">
      <c r="A974" s="4"/>
    </row>
    <row r="975" spans="1:1" ht="15.75" customHeight="1" x14ac:dyDescent="0.2">
      <c r="A975" s="4"/>
    </row>
    <row r="976" spans="1:1" ht="15.75" customHeight="1" x14ac:dyDescent="0.2">
      <c r="A976" s="4"/>
    </row>
    <row r="977" spans="1:1" ht="15.75" customHeight="1" x14ac:dyDescent="0.2">
      <c r="A977" s="4"/>
    </row>
    <row r="978" spans="1:1" ht="15.75" customHeight="1" x14ac:dyDescent="0.2">
      <c r="A978" s="4"/>
    </row>
    <row r="979" spans="1:1" ht="15.75" customHeight="1" x14ac:dyDescent="0.2">
      <c r="A979" s="4"/>
    </row>
    <row r="980" spans="1:1" ht="15.75" customHeight="1" x14ac:dyDescent="0.2">
      <c r="A980" s="4"/>
    </row>
    <row r="981" spans="1:1" ht="15.75" customHeight="1" x14ac:dyDescent="0.2">
      <c r="A981" s="4"/>
    </row>
    <row r="982" spans="1:1" ht="15.75" customHeight="1" x14ac:dyDescent="0.2">
      <c r="A982" s="4"/>
    </row>
    <row r="983" spans="1:1" ht="15.75" customHeight="1" x14ac:dyDescent="0.2">
      <c r="A983" s="4"/>
    </row>
    <row r="984" spans="1:1" ht="15.75" customHeight="1" x14ac:dyDescent="0.2">
      <c r="A984" s="4"/>
    </row>
    <row r="985" spans="1:1" ht="15.75" customHeight="1" x14ac:dyDescent="0.2">
      <c r="A985" s="4"/>
    </row>
    <row r="986" spans="1:1" ht="15.75" customHeight="1" x14ac:dyDescent="0.2">
      <c r="A986" s="4"/>
    </row>
    <row r="987" spans="1:1" ht="15.75" customHeight="1" x14ac:dyDescent="0.2">
      <c r="A987" s="4"/>
    </row>
    <row r="988" spans="1:1" ht="15.75" customHeight="1" x14ac:dyDescent="0.2">
      <c r="A988" s="4"/>
    </row>
    <row r="989" spans="1:1" ht="15.75" customHeight="1" x14ac:dyDescent="0.2">
      <c r="A989" s="4"/>
    </row>
    <row r="990" spans="1:1" ht="15.75" customHeight="1" x14ac:dyDescent="0.2">
      <c r="A990" s="4"/>
    </row>
    <row r="991" spans="1:1" ht="15.75" customHeight="1" x14ac:dyDescent="0.2">
      <c r="A991" s="4"/>
    </row>
    <row r="992" spans="1:1" ht="15.75" customHeight="1" x14ac:dyDescent="0.2">
      <c r="A992" s="4"/>
    </row>
    <row r="993" spans="1:1" ht="15.75" customHeight="1" x14ac:dyDescent="0.2">
      <c r="A993" s="4"/>
    </row>
    <row r="994" spans="1:1" ht="15.75" customHeight="1" x14ac:dyDescent="0.2">
      <c r="A994" s="4"/>
    </row>
    <row r="995" spans="1:1" ht="15.75" customHeight="1" x14ac:dyDescent="0.2">
      <c r="A995" s="4"/>
    </row>
    <row r="996" spans="1:1" ht="15.75" customHeight="1" x14ac:dyDescent="0.2">
      <c r="A996" s="4"/>
    </row>
    <row r="997" spans="1:1" ht="15.75" customHeight="1" x14ac:dyDescent="0.2">
      <c r="A997" s="4"/>
    </row>
    <row r="998" spans="1:1" ht="15.75" customHeight="1" x14ac:dyDescent="0.2">
      <c r="A998" s="4"/>
    </row>
    <row r="999" spans="1:1" ht="15.75" customHeight="1" x14ac:dyDescent="0.2">
      <c r="A999" s="4"/>
    </row>
    <row r="1000" spans="1:1" ht="15.75" customHeight="1" x14ac:dyDescent="0.2">
      <c r="A1000" s="4"/>
    </row>
    <row r="1001" spans="1:1" ht="15.75" customHeight="1" x14ac:dyDescent="0.2">
      <c r="A1001" s="4"/>
    </row>
    <row r="1002" spans="1:1" ht="15.75" customHeight="1" x14ac:dyDescent="0.2">
      <c r="A1002" s="4"/>
    </row>
    <row r="1003" spans="1:1" ht="15.75" customHeight="1" x14ac:dyDescent="0.2">
      <c r="A1003" s="4"/>
    </row>
    <row r="1004" spans="1:1" ht="15.75" customHeight="1" x14ac:dyDescent="0.2">
      <c r="A1004" s="4"/>
    </row>
    <row r="1005" spans="1:1" ht="15.75" customHeight="1" x14ac:dyDescent="0.2">
      <c r="A1005" s="4"/>
    </row>
  </sheetData>
  <pageMargins left="0.7" right="0.7" top="0.75" bottom="0.75" header="0.3" footer="0.3"/>
  <pageSetup paperSize="9"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32F2-6EB8-4779-A598-3B8E091C5979}">
  <dimension ref="A1:AB11"/>
  <sheetViews>
    <sheetView topLeftCell="A10" workbookViewId="0">
      <selection activeCell="N15" sqref="N15"/>
    </sheetView>
  </sheetViews>
  <sheetFormatPr defaultRowHeight="12.75" x14ac:dyDescent="0.2"/>
  <cols>
    <col min="2" max="3" width="7.5703125" bestFit="1" customWidth="1"/>
    <col min="4" max="4" width="7.28515625" style="144" customWidth="1"/>
    <col min="5" max="5" width="6" customWidth="1"/>
    <col min="6" max="6" width="6.85546875" customWidth="1"/>
    <col min="7" max="7" width="6.85546875" style="144" customWidth="1"/>
    <col min="8" max="8" width="6.28515625" customWidth="1"/>
    <col min="9" max="9" width="7.140625" customWidth="1"/>
    <col min="10" max="10" width="7.140625" style="144" customWidth="1"/>
    <col min="11" max="11" width="6.7109375" customWidth="1"/>
    <col min="12" max="12" width="6.5703125" customWidth="1"/>
    <col min="13" max="13" width="6.5703125" style="144" customWidth="1"/>
    <col min="14" max="14" width="7.7109375" customWidth="1"/>
    <col min="15" max="15" width="6.5703125" customWidth="1"/>
    <col min="16" max="16" width="6.5703125" style="144" customWidth="1"/>
    <col min="17" max="17" width="7.42578125" customWidth="1"/>
    <col min="18" max="18" width="5.5703125" customWidth="1"/>
    <col min="19" max="19" width="5.5703125" style="144" customWidth="1"/>
    <col min="20" max="20" width="6" customWidth="1"/>
    <col min="21" max="21" width="5.85546875" customWidth="1"/>
    <col min="22" max="22" width="5.85546875" style="144" customWidth="1"/>
    <col min="23" max="23" width="4.5703125" customWidth="1"/>
    <col min="24" max="24" width="6.85546875" customWidth="1"/>
    <col min="25" max="25" width="6.85546875" style="144" customWidth="1"/>
    <col min="26" max="26" width="6.140625" customWidth="1"/>
    <col min="27" max="28" width="6.85546875" customWidth="1"/>
  </cols>
  <sheetData>
    <row r="1" spans="1:28" ht="51" hidden="1" x14ac:dyDescent="0.2">
      <c r="A1" s="146"/>
      <c r="B1" s="146" t="s">
        <v>12</v>
      </c>
      <c r="C1" s="146" t="s">
        <v>12</v>
      </c>
      <c r="D1" s="146"/>
      <c r="E1" s="146" t="s">
        <v>11</v>
      </c>
      <c r="F1" s="146" t="s">
        <v>11</v>
      </c>
      <c r="G1" s="146"/>
      <c r="H1" s="147" t="s">
        <v>9</v>
      </c>
      <c r="I1" s="146" t="s">
        <v>9</v>
      </c>
      <c r="J1" s="146"/>
      <c r="K1" s="147" t="s">
        <v>67</v>
      </c>
      <c r="L1" s="147" t="s">
        <v>67</v>
      </c>
      <c r="M1" s="147"/>
      <c r="N1" s="147" t="s">
        <v>13</v>
      </c>
      <c r="O1" s="147" t="s">
        <v>13</v>
      </c>
      <c r="P1" s="147"/>
      <c r="Q1" s="147" t="s">
        <v>389</v>
      </c>
      <c r="R1" s="148" t="s">
        <v>389</v>
      </c>
      <c r="S1" s="148"/>
      <c r="T1" s="148" t="s">
        <v>34</v>
      </c>
      <c r="U1" s="148" t="s">
        <v>34</v>
      </c>
      <c r="V1" s="148"/>
      <c r="W1" s="148" t="s">
        <v>211</v>
      </c>
      <c r="X1" s="148" t="s">
        <v>211</v>
      </c>
      <c r="Y1" s="149"/>
      <c r="Z1" s="153" t="s">
        <v>237</v>
      </c>
      <c r="AA1" s="153" t="s">
        <v>237</v>
      </c>
      <c r="AB1" s="87"/>
    </row>
    <row r="2" spans="1:28" ht="42.6" customHeight="1" x14ac:dyDescent="0.2">
      <c r="A2" s="98"/>
      <c r="B2" s="481" t="s">
        <v>2</v>
      </c>
      <c r="C2" s="482"/>
      <c r="D2" s="485"/>
      <c r="E2" s="481" t="s">
        <v>11</v>
      </c>
      <c r="F2" s="482"/>
      <c r="G2" s="485"/>
      <c r="H2" s="481" t="s">
        <v>9</v>
      </c>
      <c r="I2" s="482"/>
      <c r="J2" s="485"/>
      <c r="K2" s="481" t="s">
        <v>67</v>
      </c>
      <c r="L2" s="482"/>
      <c r="M2" s="485"/>
      <c r="N2" s="481" t="s">
        <v>13</v>
      </c>
      <c r="O2" s="482"/>
      <c r="P2" s="485"/>
      <c r="Q2" s="481" t="s">
        <v>389</v>
      </c>
      <c r="R2" s="482"/>
      <c r="S2" s="485"/>
      <c r="T2" s="481" t="s">
        <v>34</v>
      </c>
      <c r="U2" s="482"/>
      <c r="V2" s="485"/>
      <c r="W2" s="481" t="s">
        <v>211</v>
      </c>
      <c r="X2" s="482"/>
      <c r="Y2" s="482"/>
      <c r="Z2" s="483" t="s">
        <v>10</v>
      </c>
      <c r="AA2" s="484"/>
      <c r="AB2" s="484"/>
    </row>
    <row r="3" spans="1:28" s="144" customFormat="1" x14ac:dyDescent="0.2">
      <c r="A3" s="98"/>
      <c r="B3" s="87" t="s">
        <v>333</v>
      </c>
      <c r="C3" s="87" t="s">
        <v>332</v>
      </c>
      <c r="D3" s="87" t="s">
        <v>340</v>
      </c>
      <c r="E3" s="87" t="s">
        <v>333</v>
      </c>
      <c r="F3" s="87" t="s">
        <v>332</v>
      </c>
      <c r="G3" s="87" t="s">
        <v>340</v>
      </c>
      <c r="H3" s="87" t="s">
        <v>333</v>
      </c>
      <c r="I3" s="87" t="s">
        <v>332</v>
      </c>
      <c r="J3" s="87" t="s">
        <v>340</v>
      </c>
      <c r="K3" s="87" t="s">
        <v>333</v>
      </c>
      <c r="L3" s="87" t="s">
        <v>332</v>
      </c>
      <c r="M3" s="87" t="s">
        <v>340</v>
      </c>
      <c r="N3" s="87" t="s">
        <v>333</v>
      </c>
      <c r="O3" s="87" t="s">
        <v>332</v>
      </c>
      <c r="P3" s="87" t="s">
        <v>340</v>
      </c>
      <c r="Q3" s="87" t="s">
        <v>333</v>
      </c>
      <c r="R3" s="87" t="s">
        <v>332</v>
      </c>
      <c r="S3" s="87" t="s">
        <v>340</v>
      </c>
      <c r="T3" s="87" t="s">
        <v>333</v>
      </c>
      <c r="U3" s="87" t="s">
        <v>332</v>
      </c>
      <c r="V3" s="87" t="s">
        <v>340</v>
      </c>
      <c r="W3" s="87" t="s">
        <v>333</v>
      </c>
      <c r="X3" s="87" t="s">
        <v>332</v>
      </c>
      <c r="Y3" s="87" t="s">
        <v>340</v>
      </c>
      <c r="Z3" s="87" t="s">
        <v>333</v>
      </c>
      <c r="AA3" s="87" t="s">
        <v>332</v>
      </c>
      <c r="AB3" s="87" t="s">
        <v>340</v>
      </c>
    </row>
    <row r="4" spans="1:28" x14ac:dyDescent="0.2">
      <c r="A4" s="87" t="s">
        <v>27</v>
      </c>
      <c r="B4" s="215">
        <f>SUMIFS('Reviews (by dept)'!$I:$I,'Reviews (by dept)'!$D:$D,$A4,'Reviews (by dept)'!$F:$F,B$1)</f>
        <v>428.928</v>
      </c>
      <c r="C4" s="215">
        <f>SUMIFS('Reviews (by dept)'!$G:$G,'Reviews (by dept)'!$D:$D,$A4,'Reviews (by dept)'!$F:$F,C$1)</f>
        <v>428.928</v>
      </c>
      <c r="D4" s="95"/>
      <c r="E4" s="215">
        <f>SUMIFS('Reviews (by dept)'!$I:$I,'Reviews (by dept)'!$D:$D,$A4,'Reviews (by dept)'!$F:$F,E$1)</f>
        <v>0</v>
      </c>
      <c r="F4" s="215">
        <f>SUMIFS('Reviews (by dept)'!$G:$G,'Reviews (by dept)'!$D:$D,$A4,'Reviews (by dept)'!$F:$F,F$1)</f>
        <v>0</v>
      </c>
      <c r="G4" s="215"/>
      <c r="H4" s="95">
        <f>SUMIFS('Reviews (by dept)'!$I:$I,'Reviews (by dept)'!$D:$D,$A4,'Reviews (by dept)'!$F:$F,H$1)</f>
        <v>0</v>
      </c>
      <c r="I4" s="95">
        <f>SUMIFS('Reviews (by dept)'!$G:$G,'Reviews (by dept)'!$D:$D,$A4,'Reviews (by dept)'!$F:$F,I$1)</f>
        <v>0</v>
      </c>
      <c r="J4" s="95"/>
      <c r="K4" s="95">
        <f>SUMIFS('Reviews (by dept)'!$I:$I,'Reviews (by dept)'!$D:$D,$A4,'Reviews (by dept)'!$F:$F,K$1)</f>
        <v>0</v>
      </c>
      <c r="L4" s="95">
        <f>SUMIFS('Reviews (by dept)'!$G:$G,'Reviews (by dept)'!$D:$D,$A4,'Reviews (by dept)'!$F:$F,L$1)</f>
        <v>0</v>
      </c>
      <c r="M4" s="95"/>
      <c r="N4" s="95">
        <f>SUMIFS('Reviews (by dept)'!$I:$I,'Reviews (by dept)'!$D:$D,$A4,'Reviews (by dept)'!$F:$F,N$1)</f>
        <v>0</v>
      </c>
      <c r="O4" s="95">
        <f>SUMIFS('Reviews (by dept)'!$G:$G,'Reviews (by dept)'!$D:$D,$A4,'Reviews (by dept)'!$F:$F,O$1)</f>
        <v>0</v>
      </c>
      <c r="P4" s="95"/>
      <c r="Q4" s="95">
        <f>SUMIFS('Reviews (by dept)'!$I:$I,'Reviews (by dept)'!$D:$D,$A4,'Reviews (by dept)'!$F:$F,Q$1)</f>
        <v>0</v>
      </c>
      <c r="R4" s="95">
        <f>SUMIFS('Reviews (by dept)'!$G:$G,'Reviews (by dept)'!$D:$D,$A4,'Reviews (by dept)'!$F:$F,R$1)</f>
        <v>0</v>
      </c>
      <c r="S4" s="95"/>
      <c r="T4" s="95">
        <f>SUMIFS('Reviews (by dept)'!$I:$I,'Reviews (by dept)'!$D:$D,$A4,'Reviews (by dept)'!$F:$F,T$1)</f>
        <v>0</v>
      </c>
      <c r="U4" s="95">
        <f>SUMIFS('Reviews (by dept)'!$G:$G,'Reviews (by dept)'!$D:$D,$A4,'Reviews (by dept)'!$F:$F,U$1)</f>
        <v>0</v>
      </c>
      <c r="V4" s="95"/>
      <c r="W4" s="95">
        <f>SUMIFS('Reviews (by dept)'!$I:$I,'Reviews (by dept)'!$D:$D,$A4,'Reviews (by dept)'!$F:$F,W$1)</f>
        <v>0</v>
      </c>
      <c r="X4" s="95">
        <f>SUMIFS('Reviews (by dept)'!$G:$G,'Reviews (by dept)'!$D:$D,$A4,'Reviews (by dept)'!$F:$F,X$1)</f>
        <v>0</v>
      </c>
      <c r="Y4" s="151"/>
      <c r="Z4" s="95">
        <f>SUMIFS('Reviews (by dept)'!$I:$I,'Reviews (by dept)'!$D:$D,$A4,'Reviews (by dept)'!$F:$F,Z$1)</f>
        <v>0</v>
      </c>
      <c r="AA4" s="95">
        <f>SUMIFS('Reviews (by dept)'!$G:$G,'Reviews (by dept)'!$D:$D,$A4,'Reviews (by dept)'!$F:$F,AA$1)</f>
        <v>0</v>
      </c>
      <c r="AB4" s="87"/>
    </row>
    <row r="5" spans="1:28" x14ac:dyDescent="0.2">
      <c r="A5" s="87" t="s">
        <v>7</v>
      </c>
      <c r="B5" s="215">
        <f>SUMIFS('Reviews (by dept)'!$I:$I,'Reviews (by dept)'!$D:$D,$A5,'Reviews (by dept)'!$F:$F,B$1)</f>
        <v>15779.135722666666</v>
      </c>
      <c r="C5" s="215">
        <f>SUMIFS('Reviews (by dept)'!$G:$G,'Reviews (by dept)'!$D:$D,$A5,'Reviews (by dept)'!$F:$F,C$1)</f>
        <v>39188.700000000004</v>
      </c>
      <c r="D5" s="95"/>
      <c r="E5" s="215">
        <f>SUMIFS('Reviews (by dept)'!$I:$I,'Reviews (by dept)'!$D:$D,$A5,'Reviews (by dept)'!$F:$F,E$1)</f>
        <v>33.551000000000002</v>
      </c>
      <c r="F5" s="215">
        <f>SUMIFS('Reviews (by dept)'!$G:$G,'Reviews (by dept)'!$D:$D,$A5,'Reviews (by dept)'!$F:$F,F$1)</f>
        <v>99.4</v>
      </c>
      <c r="G5" s="215"/>
      <c r="H5" s="95">
        <f>SUMIFS('Reviews (by dept)'!$I:$I,'Reviews (by dept)'!$D:$D,$A5,'Reviews (by dept)'!$F:$F,H$1)</f>
        <v>0</v>
      </c>
      <c r="I5" s="95">
        <f>SUMIFS('Reviews (by dept)'!$G:$G,'Reviews (by dept)'!$D:$D,$A5,'Reviews (by dept)'!$F:$F,I$1)</f>
        <v>0</v>
      </c>
      <c r="J5" s="95"/>
      <c r="K5" s="95">
        <f>SUMIFS('Reviews (by dept)'!$I:$I,'Reviews (by dept)'!$D:$D,$A5,'Reviews (by dept)'!$F:$F,K$1)</f>
        <v>646.92000000000007</v>
      </c>
      <c r="L5" s="95">
        <f>SUMIFS('Reviews (by dept)'!$G:$G,'Reviews (by dept)'!$D:$D,$A5,'Reviews (by dept)'!$F:$F,L$1)</f>
        <v>1250</v>
      </c>
      <c r="M5" s="95"/>
      <c r="N5" s="95">
        <f>SUMIFS('Reviews (by dept)'!$I:$I,'Reviews (by dept)'!$D:$D,$A5,'Reviews (by dept)'!$F:$F,N$1)</f>
        <v>0</v>
      </c>
      <c r="O5" s="95">
        <f>SUMIFS('Reviews (by dept)'!$G:$G,'Reviews (by dept)'!$D:$D,$A5,'Reviews (by dept)'!$F:$F,O$1)</f>
        <v>0</v>
      </c>
      <c r="P5" s="95"/>
      <c r="Q5" s="95">
        <f>SUMIFS('Reviews (by dept)'!$I:$I,'Reviews (by dept)'!$D:$D,$A5,'Reviews (by dept)'!$F:$F,Q$1)</f>
        <v>411</v>
      </c>
      <c r="R5" s="95">
        <f>SUMIFS('Reviews (by dept)'!$G:$G,'Reviews (by dept)'!$D:$D,$A5,'Reviews (by dept)'!$F:$F,R$1)</f>
        <v>477</v>
      </c>
      <c r="S5" s="95"/>
      <c r="T5" s="95">
        <f>SUMIFS('Reviews (by dept)'!$I:$I,'Reviews (by dept)'!$D:$D,$A5,'Reviews (by dept)'!$F:$F,T$1)</f>
        <v>0</v>
      </c>
      <c r="U5" s="95">
        <f>SUMIFS('Reviews (by dept)'!$G:$G,'Reviews (by dept)'!$D:$D,$A5,'Reviews (by dept)'!$F:$F,U$1)</f>
        <v>0</v>
      </c>
      <c r="V5" s="95"/>
      <c r="W5" s="95">
        <f>SUMIFS('Reviews (by dept)'!$I:$I,'Reviews (by dept)'!$D:$D,$A5,'Reviews (by dept)'!$F:$F,W$1)</f>
        <v>0</v>
      </c>
      <c r="X5" s="95">
        <f>SUMIFS('Reviews (by dept)'!$G:$G,'Reviews (by dept)'!$D:$D,$A5,'Reviews (by dept)'!$F:$F,X$1)</f>
        <v>0</v>
      </c>
      <c r="Y5" s="151"/>
      <c r="Z5" s="95">
        <f>SUMIFS('Reviews (by dept)'!$I:$I,'Reviews (by dept)'!$D:$D,$A5,'Reviews (by dept)'!$F:$F,Z$1)</f>
        <v>0</v>
      </c>
      <c r="AA5" s="95">
        <f>SUMIFS('Reviews (by dept)'!$G:$G,'Reviews (by dept)'!$D:$D,$A5,'Reviews (by dept)'!$F:$F,AA$1)</f>
        <v>0</v>
      </c>
      <c r="AB5" s="87"/>
    </row>
    <row r="6" spans="1:28" x14ac:dyDescent="0.2">
      <c r="A6" s="87" t="s">
        <v>16</v>
      </c>
      <c r="B6" s="215">
        <f>SUMIFS('Reviews (by dept)'!$I:$I,'Reviews (by dept)'!$D:$D,$A6,'Reviews (by dept)'!$F:$F,B$1)</f>
        <v>4291.4598000000005</v>
      </c>
      <c r="C6" s="215">
        <f>SUMIFS('Reviews (by dept)'!$G:$G,'Reviews (by dept)'!$D:$D,$A6,'Reviews (by dept)'!$F:$F,C$1)</f>
        <v>11246.043133333333</v>
      </c>
      <c r="D6" s="95"/>
      <c r="E6" s="215">
        <f>SUMIFS('Reviews (by dept)'!$I:$I,'Reviews (by dept)'!$D:$D,$A6,'Reviews (by dept)'!$F:$F,E$1)</f>
        <v>122.928</v>
      </c>
      <c r="F6" s="215">
        <f>SUMIFS('Reviews (by dept)'!$G:$G,'Reviews (by dept)'!$D:$D,$A6,'Reviews (by dept)'!$F:$F,F$1)</f>
        <v>779.2</v>
      </c>
      <c r="G6" s="215"/>
      <c r="H6" s="95">
        <f>SUMIFS('Reviews (by dept)'!$I:$I,'Reviews (by dept)'!$D:$D,$A6,'Reviews (by dept)'!$F:$F,H$1)</f>
        <v>0</v>
      </c>
      <c r="I6" s="95">
        <f>SUMIFS('Reviews (by dept)'!$G:$G,'Reviews (by dept)'!$D:$D,$A6,'Reviews (by dept)'!$F:$F,I$1)</f>
        <v>0</v>
      </c>
      <c r="J6" s="95"/>
      <c r="K6" s="95">
        <f>SUMIFS('Reviews (by dept)'!$I:$I,'Reviews (by dept)'!$D:$D,$A6,'Reviews (by dept)'!$F:$F,K$1)</f>
        <v>0</v>
      </c>
      <c r="L6" s="95">
        <f>SUMIFS('Reviews (by dept)'!$G:$G,'Reviews (by dept)'!$D:$D,$A6,'Reviews (by dept)'!$F:$F,L$1)</f>
        <v>0</v>
      </c>
      <c r="M6" s="95"/>
      <c r="N6" s="95">
        <f>SUMIFS('Reviews (by dept)'!$I:$I,'Reviews (by dept)'!$D:$D,$A6,'Reviews (by dept)'!$F:$F,N$1)</f>
        <v>0</v>
      </c>
      <c r="O6" s="95">
        <f>SUMIFS('Reviews (by dept)'!$G:$G,'Reviews (by dept)'!$D:$D,$A6,'Reviews (by dept)'!$F:$F,O$1)</f>
        <v>17.7</v>
      </c>
      <c r="P6" s="95"/>
      <c r="Q6" s="95">
        <f>SUMIFS('Reviews (by dept)'!$I:$I,'Reviews (by dept)'!$D:$D,$A6,'Reviews (by dept)'!$F:$F,Q$1)</f>
        <v>0</v>
      </c>
      <c r="R6" s="95">
        <f>SUMIFS('Reviews (by dept)'!$G:$G,'Reviews (by dept)'!$D:$D,$A6,'Reviews (by dept)'!$F:$F,R$1)</f>
        <v>0</v>
      </c>
      <c r="S6" s="95"/>
      <c r="T6" s="95">
        <f>SUMIFS('Reviews (by dept)'!$I:$I,'Reviews (by dept)'!$D:$D,$A6,'Reviews (by dept)'!$F:$F,T$1)</f>
        <v>2.84</v>
      </c>
      <c r="U6" s="95">
        <f>SUMIFS('Reviews (by dept)'!$G:$G,'Reviews (by dept)'!$D:$D,$A6,'Reviews (by dept)'!$F:$F,U$1)</f>
        <v>27</v>
      </c>
      <c r="V6" s="95"/>
      <c r="W6" s="95">
        <f>SUMIFS('Reviews (by dept)'!$I:$I,'Reviews (by dept)'!$D:$D,$A6,'Reviews (by dept)'!$F:$F,W$1)</f>
        <v>12.712000000000002</v>
      </c>
      <c r="X6" s="95">
        <f>SUMIFS('Reviews (by dept)'!$G:$G,'Reviews (by dept)'!$D:$D,$A6,'Reviews (by dept)'!$F:$F,X$1)</f>
        <v>25.1</v>
      </c>
      <c r="Y6" s="151"/>
      <c r="Z6" s="95">
        <f>'Reviews (by dept)'!I69+'Reviews (by dept)'!I70+'Reviews (by dept)'!I71+'Reviews (by dept)'!I10+'Reviews (by dept)'!I11+'Reviews (by dept)'!I12+'Reviews (by dept)'!I13+'Reviews (by dept)'!I14</f>
        <v>173.1</v>
      </c>
      <c r="AA6" s="95">
        <f>'Reviews (by dept)'!G69+'Reviews (by dept)'!G70+'Reviews (by dept)'!G71+'Reviews (by dept)'!G10+'Reviews (by dept)'!G11+'Reviews (by dept)'!G12+'Reviews (by dept)'!G13+'Reviews (by dept)'!G14</f>
        <v>1102.2</v>
      </c>
      <c r="AB6" s="87"/>
    </row>
    <row r="7" spans="1:28" x14ac:dyDescent="0.2">
      <c r="A7" s="87" t="s">
        <v>21</v>
      </c>
      <c r="B7" s="215">
        <f>SUMIFS('Reviews (by dept)'!$I:$I,'Reviews (by dept)'!$D:$D,$A7,'Reviews (by dept)'!$F:$F,B$1)</f>
        <v>109</v>
      </c>
      <c r="C7" s="215">
        <f>SUMIFS('Reviews (by dept)'!$G:$G,'Reviews (by dept)'!$D:$D,$A7,'Reviews (by dept)'!$F:$F,C$1)</f>
        <v>109</v>
      </c>
      <c r="D7" s="95"/>
      <c r="E7" s="215">
        <f>SUMIFS('Reviews (by dept)'!$I:$I,'Reviews (by dept)'!$D:$D,$A7,'Reviews (by dept)'!$F:$F,E$1)</f>
        <v>0</v>
      </c>
      <c r="F7" s="215">
        <f>SUMIFS('Reviews (by dept)'!$G:$G,'Reviews (by dept)'!$D:$D,$A7,'Reviews (by dept)'!$F:$F,F$1)</f>
        <v>0</v>
      </c>
      <c r="G7" s="215"/>
      <c r="H7" s="95">
        <f>SUMIFS('Reviews (by dept)'!$I:$I,'Reviews (by dept)'!$D:$D,$A7,'Reviews (by dept)'!$F:$F,H$1)</f>
        <v>0</v>
      </c>
      <c r="I7" s="95">
        <f>SUMIFS('Reviews (by dept)'!$G:$G,'Reviews (by dept)'!$D:$D,$A7,'Reviews (by dept)'!$F:$F,I$1)</f>
        <v>0</v>
      </c>
      <c r="J7" s="95"/>
      <c r="K7" s="95">
        <f>SUMIFS('Reviews (by dept)'!$I:$I,'Reviews (by dept)'!$D:$D,$A7,'Reviews (by dept)'!$F:$F,K$1)</f>
        <v>0</v>
      </c>
      <c r="L7" s="95">
        <f>SUMIFS('Reviews (by dept)'!$G:$G,'Reviews (by dept)'!$D:$D,$A7,'Reviews (by dept)'!$F:$F,L$1)</f>
        <v>0</v>
      </c>
      <c r="M7" s="95"/>
      <c r="N7" s="95">
        <f>SUMIFS('Reviews (by dept)'!$I:$I,'Reviews (by dept)'!$D:$D,$A7,'Reviews (by dept)'!$F:$F,N$1)</f>
        <v>0</v>
      </c>
      <c r="O7" s="95">
        <f>SUMIFS('Reviews (by dept)'!$G:$G,'Reviews (by dept)'!$D:$D,$A7,'Reviews (by dept)'!$F:$F,O$1)</f>
        <v>0</v>
      </c>
      <c r="P7" s="95"/>
      <c r="Q7" s="95">
        <f>SUMIFS('Reviews (by dept)'!$I:$I,'Reviews (by dept)'!$D:$D,$A7,'Reviews (by dept)'!$F:$F,Q$1)</f>
        <v>0</v>
      </c>
      <c r="R7" s="95">
        <f>SUMIFS('Reviews (by dept)'!$G:$G,'Reviews (by dept)'!$D:$D,$A7,'Reviews (by dept)'!$F:$F,R$1)</f>
        <v>0</v>
      </c>
      <c r="S7" s="95"/>
      <c r="T7" s="95">
        <f>SUMIFS('Reviews (by dept)'!$I:$I,'Reviews (by dept)'!$D:$D,$A7,'Reviews (by dept)'!$F:$F,T$1)</f>
        <v>0</v>
      </c>
      <c r="U7" s="95">
        <f>SUMIFS('Reviews (by dept)'!$G:$G,'Reviews (by dept)'!$D:$D,$A7,'Reviews (by dept)'!$F:$F,U$1)</f>
        <v>0</v>
      </c>
      <c r="V7" s="95"/>
      <c r="W7" s="95">
        <f>SUMIFS('Reviews (by dept)'!$I:$I,'Reviews (by dept)'!$D:$D,$A7,'Reviews (by dept)'!$F:$F,W$1)</f>
        <v>0</v>
      </c>
      <c r="X7" s="95">
        <f>SUMIFS('Reviews (by dept)'!$G:$G,'Reviews (by dept)'!$D:$D,$A7,'Reviews (by dept)'!$F:$F,X$1)</f>
        <v>0</v>
      </c>
      <c r="Y7" s="151"/>
      <c r="Z7" s="95">
        <f>SUMIFS('Reviews (by dept)'!$I:$I,'Reviews (by dept)'!$D:$D,$A7,'Reviews (by dept)'!$F:$F,Z$1)</f>
        <v>0</v>
      </c>
      <c r="AA7" s="95">
        <f>SUMIFS('Reviews (by dept)'!$G:$G,'Reviews (by dept)'!$D:$D,$A7,'Reviews (by dept)'!$F:$F,AA$1)</f>
        <v>0</v>
      </c>
      <c r="AB7" s="87"/>
    </row>
    <row r="8" spans="1:28" x14ac:dyDescent="0.2">
      <c r="A8" s="87" t="s">
        <v>63</v>
      </c>
      <c r="B8" s="215">
        <f>SUMIFS('Reviews (by dept)'!$I:$I,'Reviews (by dept)'!$D:$D,$A8,'Reviews (by dept)'!$F:$F,B$1)</f>
        <v>4079.9000000000005</v>
      </c>
      <c r="C8" s="215">
        <f>SUMIFS('Reviews (by dept)'!$G:$G,'Reviews (by dept)'!$D:$D,$A8,'Reviews (by dept)'!$F:$F,C$1)</f>
        <v>4928.2000000000007</v>
      </c>
      <c r="D8" s="95"/>
      <c r="E8" s="215">
        <f>SUMIFS('Reviews (by dept)'!$I:$I,'Reviews (by dept)'!$D:$D,$A8,'Reviews (by dept)'!$F:$F,E$1)</f>
        <v>590</v>
      </c>
      <c r="F8" s="215">
        <f>SUMIFS('Reviews (by dept)'!$G:$G,'Reviews (by dept)'!$D:$D,$A8,'Reviews (by dept)'!$F:$F,F$1)</f>
        <v>1108.3</v>
      </c>
      <c r="G8" s="215"/>
      <c r="H8" s="95">
        <f>SUMIFS('Reviews (by dept)'!$I:$I,'Reviews (by dept)'!$D:$D,$A8,'Reviews (by dept)'!$F:$F,H$1)</f>
        <v>1300</v>
      </c>
      <c r="I8" s="95">
        <f>SUMIFS('Reviews (by dept)'!$G:$G,'Reviews (by dept)'!$D:$D,$A8,'Reviews (by dept)'!$F:$F,I$1)</f>
        <v>1500</v>
      </c>
      <c r="J8" s="95"/>
      <c r="K8" s="95">
        <f>SUMIFS('Reviews (by dept)'!$I:$I,'Reviews (by dept)'!$D:$D,$A8,'Reviews (by dept)'!$F:$F,K$1)</f>
        <v>0</v>
      </c>
      <c r="L8" s="95">
        <f>SUMIFS('Reviews (by dept)'!$G:$G,'Reviews (by dept)'!$D:$D,$A8,'Reviews (by dept)'!$F:$F,L$1)</f>
        <v>0</v>
      </c>
      <c r="M8" s="95"/>
      <c r="N8" s="95">
        <f>SUMIFS('Reviews (by dept)'!$I:$I,'Reviews (by dept)'!$D:$D,$A8,'Reviews (by dept)'!$F:$F,N$1)</f>
        <v>0</v>
      </c>
      <c r="O8" s="95">
        <f>SUMIFS('Reviews (by dept)'!$G:$G,'Reviews (by dept)'!$D:$D,$A8,'Reviews (by dept)'!$F:$F,O$1)</f>
        <v>0</v>
      </c>
      <c r="P8" s="95"/>
      <c r="Q8" s="95">
        <f>SUMIFS('Reviews (by dept)'!$I:$I,'Reviews (by dept)'!$D:$D,$A8,'Reviews (by dept)'!$F:$F,Q$1)</f>
        <v>0</v>
      </c>
      <c r="R8" s="95">
        <f>SUMIFS('Reviews (by dept)'!$G:$G,'Reviews (by dept)'!$D:$D,$A8,'Reviews (by dept)'!$F:$F,R$1)</f>
        <v>0</v>
      </c>
      <c r="S8" s="95"/>
      <c r="T8" s="95">
        <f>SUMIFS('Reviews (by dept)'!$I:$I,'Reviews (by dept)'!$D:$D,$A8,'Reviews (by dept)'!$F:$F,T$1)</f>
        <v>0</v>
      </c>
      <c r="U8" s="95">
        <f>SUMIFS('Reviews (by dept)'!$G:$G,'Reviews (by dept)'!$D:$D,$A8,'Reviews (by dept)'!$F:$F,U$1)</f>
        <v>0</v>
      </c>
      <c r="V8" s="95"/>
      <c r="W8" s="95">
        <f>SUMIFS('Reviews (by dept)'!$I:$I,'Reviews (by dept)'!$D:$D,$A8,'Reviews (by dept)'!$F:$F,W$1)</f>
        <v>0</v>
      </c>
      <c r="X8" s="95">
        <f>SUMIFS('Reviews (by dept)'!$G:$G,'Reviews (by dept)'!$D:$D,$A8,'Reviews (by dept)'!$F:$F,X$1)</f>
        <v>0</v>
      </c>
      <c r="Y8" s="151"/>
      <c r="Z8" s="95">
        <f>SUMIFS('Reviews (by dept)'!$I:$I,'Reviews (by dept)'!$D:$D,$A8,'Reviews (by dept)'!$F:$F,Z$1)</f>
        <v>0</v>
      </c>
      <c r="AA8" s="95">
        <f>SUMIFS('Reviews (by dept)'!$G:$G,'Reviews (by dept)'!$D:$D,$A8,'Reviews (by dept)'!$F:$F,AA$1)</f>
        <v>0</v>
      </c>
      <c r="AB8" s="87"/>
    </row>
    <row r="9" spans="1:28" x14ac:dyDescent="0.2">
      <c r="A9" s="96" t="s">
        <v>339</v>
      </c>
      <c r="B9" s="98"/>
      <c r="C9" s="98"/>
      <c r="D9" s="123">
        <f>SID!J3</f>
        <v>73017.456138996495</v>
      </c>
      <c r="E9" s="123"/>
      <c r="F9" s="123"/>
      <c r="G9" s="123">
        <f>SID!J8</f>
        <v>4657.6407615329626</v>
      </c>
      <c r="H9" s="127"/>
      <c r="I9" s="123"/>
      <c r="J9" s="123">
        <f>SID!J6</f>
        <v>1464.6489745322065</v>
      </c>
      <c r="K9" s="95"/>
      <c r="L9" s="95"/>
      <c r="M9" s="123">
        <f>SID!J5</f>
        <v>1777.3758718650001</v>
      </c>
      <c r="N9" s="95"/>
      <c r="O9" s="95"/>
      <c r="P9" s="123">
        <f>SID!J9</f>
        <v>1151.4272443584</v>
      </c>
      <c r="Q9" s="95"/>
      <c r="R9" s="87"/>
      <c r="S9" s="123">
        <f>SID!J14</f>
        <v>216.85783859</v>
      </c>
      <c r="T9" s="87"/>
      <c r="U9" s="87"/>
      <c r="V9" s="123">
        <f>SID!J18</f>
        <v>86.801409565407042</v>
      </c>
      <c r="W9" s="87"/>
      <c r="X9" s="87"/>
      <c r="Y9" s="134">
        <f>SID!J17</f>
        <v>45.70895719299989</v>
      </c>
      <c r="Z9" s="87"/>
      <c r="AA9" s="87"/>
      <c r="AB9" s="123">
        <f>SID!J7</f>
        <v>2191.5112479999998</v>
      </c>
    </row>
    <row r="10" spans="1:28" s="145" customFormat="1" x14ac:dyDescent="0.2">
      <c r="A10" s="69"/>
      <c r="B10" s="453">
        <f>SUM(B4:B8)</f>
        <v>24688.423522666668</v>
      </c>
      <c r="C10" s="114"/>
      <c r="D10" s="154"/>
      <c r="E10" s="152"/>
      <c r="F10" s="155"/>
      <c r="G10" s="154"/>
      <c r="H10" s="156"/>
      <c r="I10" s="155"/>
      <c r="J10" s="154"/>
      <c r="K10" s="151"/>
      <c r="L10" s="115"/>
      <c r="M10" s="154"/>
      <c r="N10" s="151"/>
      <c r="O10" s="115"/>
      <c r="P10" s="154"/>
      <c r="Q10" s="151"/>
      <c r="R10" s="157"/>
      <c r="S10" s="154"/>
      <c r="T10" s="150"/>
      <c r="U10" s="157"/>
      <c r="V10" s="154"/>
      <c r="W10" s="150"/>
      <c r="X10" s="157"/>
      <c r="Y10" s="155"/>
      <c r="Z10" s="87"/>
      <c r="AA10" s="87"/>
      <c r="AB10" s="123"/>
    </row>
    <row r="11" spans="1:28" x14ac:dyDescent="0.2">
      <c r="L11" s="158"/>
    </row>
  </sheetData>
  <mergeCells count="9">
    <mergeCell ref="W2:Y2"/>
    <mergeCell ref="Z2:AB2"/>
    <mergeCell ref="B2:D2"/>
    <mergeCell ref="E2:G2"/>
    <mergeCell ref="H2:J2"/>
    <mergeCell ref="K2:M2"/>
    <mergeCell ref="N2:P2"/>
    <mergeCell ref="Q2:S2"/>
    <mergeCell ref="T2:V2"/>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076F-6C5A-4541-9B13-15B94908263A}">
  <dimension ref="A1:I10"/>
  <sheetViews>
    <sheetView zoomScale="115" zoomScaleNormal="115" workbookViewId="0">
      <selection activeCell="E17" sqref="E17"/>
    </sheetView>
  </sheetViews>
  <sheetFormatPr defaultRowHeight="12.75" x14ac:dyDescent="0.2"/>
  <cols>
    <col min="1" max="1" width="10.85546875" bestFit="1" customWidth="1"/>
    <col min="2" max="2" width="16.5703125" bestFit="1" customWidth="1"/>
    <col min="3" max="3" width="13.5703125" style="169" bestFit="1" customWidth="1"/>
  </cols>
  <sheetData>
    <row r="1" spans="1:9" x14ac:dyDescent="0.2">
      <c r="A1" s="87"/>
      <c r="B1" s="87"/>
      <c r="C1" s="87"/>
      <c r="D1" s="94" t="s">
        <v>210</v>
      </c>
      <c r="E1" s="94" t="s">
        <v>27</v>
      </c>
      <c r="F1" s="94" t="s">
        <v>7</v>
      </c>
      <c r="G1" s="94" t="s">
        <v>16</v>
      </c>
      <c r="H1" s="94" t="s">
        <v>21</v>
      </c>
      <c r="I1" s="94" t="s">
        <v>63</v>
      </c>
    </row>
    <row r="2" spans="1:9" x14ac:dyDescent="0.2">
      <c r="A2" s="98" t="s">
        <v>12</v>
      </c>
      <c r="B2" s="486" t="str">
        <f>CONCATENATE(A2,"
 (",D3," reviews)","
(", D2, " graded reviews)"
)</f>
        <v>DFID
 (58 reviews)
(55 graded reviews)</v>
      </c>
      <c r="C2" s="192" t="s">
        <v>242</v>
      </c>
      <c r="D2" s="98">
        <f>SUM(E2:I2)</f>
        <v>55</v>
      </c>
      <c r="E2" s="87">
        <f>COUNTIFS(Reviews!$D:$D,'Fig4'!$A2,Reviews!$C:$C,'Fig4'!E$1)</f>
        <v>4</v>
      </c>
      <c r="F2" s="87">
        <f>COUNTIFS(Reviews!$D:$D,'Fig4'!$A2,Reviews!$C:$C,'Fig4'!F$1)</f>
        <v>32</v>
      </c>
      <c r="G2" s="87">
        <f>COUNTIFS(Reviews!$D:$D,'Fig4'!$A2,Reviews!$C:$C,'Fig4'!G$1)</f>
        <v>18</v>
      </c>
      <c r="H2" s="87">
        <f>COUNTIFS(Reviews!$D:$D,'Fig4'!$A2,Reviews!$C:$C,'Fig4'!H$1)</f>
        <v>1</v>
      </c>
      <c r="I2" s="87"/>
    </row>
    <row r="3" spans="1:9" s="169" customFormat="1" x14ac:dyDescent="0.2">
      <c r="A3" s="98" t="s">
        <v>12</v>
      </c>
      <c r="B3" s="487"/>
      <c r="C3" s="191" t="s">
        <v>378</v>
      </c>
      <c r="D3" s="98">
        <f>SUM(E3:I3)</f>
        <v>58</v>
      </c>
      <c r="E3" s="87">
        <f>COUNTIFS(Reviews!$D:$D,'Fig4'!$A3,Reviews!$C:$C,'Fig4'!E$1)</f>
        <v>4</v>
      </c>
      <c r="F3" s="87">
        <f>COUNTIFS(Reviews!$D:$D,'Fig4'!$A3,Reviews!$C:$C,'Fig4'!F$1)</f>
        <v>32</v>
      </c>
      <c r="G3" s="87">
        <f>COUNTIFS(Reviews!$D:$D,'Fig4'!$A3,Reviews!$C:$C,'Fig4'!G$1)</f>
        <v>18</v>
      </c>
      <c r="H3" s="87">
        <f>COUNTIFS(Reviews!$D:$D,'Fig4'!$A3,Reviews!$C:$C,'Fig4'!H$1)</f>
        <v>1</v>
      </c>
      <c r="I3" s="87">
        <f>COUNTIFS(Reviews!$D:$D,$A2,Reviews!$C:$C,I$1)</f>
        <v>3</v>
      </c>
    </row>
    <row r="4" spans="1:9" x14ac:dyDescent="0.2">
      <c r="A4" s="98" t="s">
        <v>11</v>
      </c>
      <c r="B4" s="486" t="str">
        <f>CONCATENATE(A4,"
 (",D5," reviews)","
(", D4, " graded reviews)"
)</f>
        <v>FCO
 (4 reviews)
(3 graded reviews)</v>
      </c>
      <c r="C4" s="192" t="s">
        <v>242</v>
      </c>
      <c r="D4" s="98">
        <f t="shared" ref="D4:D9" si="0">SUM(E4:I4)</f>
        <v>3</v>
      </c>
      <c r="E4" s="87">
        <f>COUNTIFS(Reviews!$D:$D,'Fig4'!$A4,Reviews!$C:$C,'Fig4'!E$1)</f>
        <v>0</v>
      </c>
      <c r="F4" s="87">
        <f>COUNTIFS(Reviews!$D:$D,'Fig4'!$A4,Reviews!$C:$C,'Fig4'!F$1)</f>
        <v>1</v>
      </c>
      <c r="G4" s="87">
        <f>COUNTIFS(Reviews!$D:$D,'Fig4'!$A4,Reviews!$C:$C,'Fig4'!G$1)</f>
        <v>2</v>
      </c>
      <c r="H4" s="87">
        <f>COUNTIFS(Reviews!$D:$D,'Fig4'!$A4,Reviews!$C:$C,'Fig4'!H$1)</f>
        <v>0</v>
      </c>
      <c r="I4" s="87"/>
    </row>
    <row r="5" spans="1:9" s="169" customFormat="1" x14ac:dyDescent="0.2">
      <c r="A5" s="98" t="s">
        <v>11</v>
      </c>
      <c r="B5" s="487"/>
      <c r="C5" s="191" t="s">
        <v>378</v>
      </c>
      <c r="D5" s="98">
        <f>SUM(E5:I5)</f>
        <v>4</v>
      </c>
      <c r="E5" s="87">
        <f>COUNTIFS(Reviews!$D:$D,'Fig4'!$A5,Reviews!$C:$C,'Fig4'!E$1)</f>
        <v>0</v>
      </c>
      <c r="F5" s="87">
        <f>COUNTIFS(Reviews!$D:$D,'Fig4'!$A5,Reviews!$C:$C,'Fig4'!F$1)</f>
        <v>1</v>
      </c>
      <c r="G5" s="87">
        <f>COUNTIFS(Reviews!$D:$D,'Fig4'!$A5,Reviews!$C:$C,'Fig4'!G$1)</f>
        <v>2</v>
      </c>
      <c r="H5" s="87">
        <f>COUNTIFS(Reviews!$D:$D,'Fig4'!$A5,Reviews!$C:$C,'Fig4'!H$1)</f>
        <v>0</v>
      </c>
      <c r="I5" s="87">
        <f>COUNTIFS(Reviews!$D:$D,$A4,Reviews!$C:$C,I$1)</f>
        <v>1</v>
      </c>
    </row>
    <row r="6" spans="1:9" x14ac:dyDescent="0.2">
      <c r="A6" s="96" t="s">
        <v>9</v>
      </c>
      <c r="B6" s="486" t="str">
        <f>CONCATENATE(A6,"
 (",D7," reviews)","
(", D6, " graded reviews)"
)</f>
        <v>BEIS
 (1 reviews)
(0 graded reviews)</v>
      </c>
      <c r="C6" s="192" t="s">
        <v>242</v>
      </c>
      <c r="D6" s="98">
        <f t="shared" si="0"/>
        <v>0</v>
      </c>
      <c r="E6" s="87">
        <f>COUNTIFS(Reviews!$D:$D,'Fig4'!$A6,Reviews!$C:$C,'Fig4'!E$1)</f>
        <v>0</v>
      </c>
      <c r="F6" s="87">
        <f>COUNTIFS(Reviews!$D:$D,'Fig4'!$A6,Reviews!$C:$C,'Fig4'!F$1)</f>
        <v>0</v>
      </c>
      <c r="G6" s="87">
        <f>COUNTIFS(Reviews!$D:$D,'Fig4'!$A6,Reviews!$C:$C,'Fig4'!G$1)</f>
        <v>0</v>
      </c>
      <c r="H6" s="87">
        <f>COUNTIFS(Reviews!$D:$D,'Fig4'!$A6,Reviews!$C:$C,'Fig4'!H$1)</f>
        <v>0</v>
      </c>
      <c r="I6" s="87"/>
    </row>
    <row r="7" spans="1:9" s="169" customFormat="1" x14ac:dyDescent="0.2">
      <c r="A7" s="96" t="s">
        <v>9</v>
      </c>
      <c r="B7" s="487"/>
      <c r="C7" s="191" t="s">
        <v>378</v>
      </c>
      <c r="D7" s="98">
        <f t="shared" si="0"/>
        <v>1</v>
      </c>
      <c r="E7" s="87">
        <f>COUNTIFS(Reviews!$D:$D,'Fig4'!$A7,Reviews!$C:$C,'Fig4'!E$1)</f>
        <v>0</v>
      </c>
      <c r="F7" s="87">
        <f>COUNTIFS(Reviews!$D:$D,'Fig4'!$A7,Reviews!$C:$C,'Fig4'!F$1)</f>
        <v>0</v>
      </c>
      <c r="G7" s="87">
        <f>COUNTIFS(Reviews!$D:$D,'Fig4'!$A7,Reviews!$C:$C,'Fig4'!G$1)</f>
        <v>0</v>
      </c>
      <c r="H7" s="87">
        <f>COUNTIFS(Reviews!$D:$D,'Fig4'!$A7,Reviews!$C:$C,'Fig4'!H$1)</f>
        <v>0</v>
      </c>
      <c r="I7" s="87">
        <f>COUNTIFS(Reviews!$D:$D,$A6,Reviews!$C:$C,I$1)</f>
        <v>1</v>
      </c>
    </row>
    <row r="8" spans="1:9" x14ac:dyDescent="0.2">
      <c r="A8" s="71" t="s">
        <v>13</v>
      </c>
      <c r="B8" s="486" t="str">
        <f>CONCATENATE(A8,"
 (",D9," reviews)","
(", D8, " graded reviews)"
)</f>
        <v>Home Office
 (0 reviews)
(0 graded reviews)</v>
      </c>
      <c r="C8" s="192" t="s">
        <v>242</v>
      </c>
      <c r="D8" s="98">
        <f t="shared" si="0"/>
        <v>0</v>
      </c>
      <c r="E8" s="87">
        <f>COUNTIFS(Reviews!$D:$D,'Fig4'!$A8,Reviews!$C:$C,'Fig4'!E$1)</f>
        <v>0</v>
      </c>
      <c r="F8" s="87">
        <f>COUNTIFS(Reviews!$D:$D,'Fig4'!$A8,Reviews!$C:$C,'Fig4'!F$1)</f>
        <v>0</v>
      </c>
      <c r="G8" s="87">
        <f>COUNTIFS(Reviews!$D:$D,'Fig4'!$A8,Reviews!$C:$C,'Fig4'!G$1)</f>
        <v>0</v>
      </c>
      <c r="H8" s="87">
        <f>COUNTIFS(Reviews!$D:$D,'Fig4'!$A8,Reviews!$C:$C,'Fig4'!H$1)</f>
        <v>0</v>
      </c>
    </row>
    <row r="9" spans="1:9" x14ac:dyDescent="0.2">
      <c r="A9" s="71" t="s">
        <v>13</v>
      </c>
      <c r="B9" s="487"/>
      <c r="C9" s="191" t="s">
        <v>378</v>
      </c>
      <c r="D9" s="98">
        <f t="shared" si="0"/>
        <v>0</v>
      </c>
      <c r="E9" s="87">
        <f>COUNTIFS(Reviews!$D:$D,'Fig4'!$A9,Reviews!$C:$C,'Fig4'!E$1)</f>
        <v>0</v>
      </c>
      <c r="F9" s="87">
        <f>COUNTIFS(Reviews!$D:$D,'Fig4'!$A9,Reviews!$C:$C,'Fig4'!F$1)</f>
        <v>0</v>
      </c>
      <c r="G9" s="87">
        <f>COUNTIFS(Reviews!$D:$D,'Fig4'!$A9,Reviews!$C:$C,'Fig4'!G$1)</f>
        <v>0</v>
      </c>
      <c r="H9" s="87">
        <f>COUNTIFS(Reviews!$D:$D,'Fig4'!$A9,Reviews!$C:$C,'Fig4'!H$1)</f>
        <v>0</v>
      </c>
      <c r="I9" s="87">
        <f>COUNTIFS(Reviews!$D:$D,$A8,Reviews!$C:$C,I$1)</f>
        <v>0</v>
      </c>
    </row>
    <row r="10" spans="1:9" x14ac:dyDescent="0.2">
      <c r="D10" s="452"/>
    </row>
  </sheetData>
  <mergeCells count="4">
    <mergeCell ref="B2:B3"/>
    <mergeCell ref="B4:B5"/>
    <mergeCell ref="B6:B7"/>
    <mergeCell ref="B8:B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4CA4F-C5D1-45F2-BB21-DCB14FEC805D}">
  <dimension ref="A1:G9"/>
  <sheetViews>
    <sheetView workbookViewId="0">
      <selection activeCell="H1" sqref="H1"/>
    </sheetView>
  </sheetViews>
  <sheetFormatPr defaultRowHeight="12.75" x14ac:dyDescent="0.2"/>
  <cols>
    <col min="1" max="1" width="8.42578125" bestFit="1" customWidth="1"/>
  </cols>
  <sheetData>
    <row r="1" spans="1:7" ht="25.5" x14ac:dyDescent="0.2">
      <c r="A1" s="69"/>
      <c r="B1" s="122"/>
      <c r="C1" s="100" t="s">
        <v>27</v>
      </c>
      <c r="D1" s="100" t="s">
        <v>7</v>
      </c>
      <c r="E1" s="100" t="s">
        <v>16</v>
      </c>
      <c r="F1" s="100" t="s">
        <v>21</v>
      </c>
      <c r="G1" s="100" t="s">
        <v>63</v>
      </c>
    </row>
    <row r="2" spans="1:7" x14ac:dyDescent="0.2">
      <c r="A2" s="488" t="str">
        <f>CONCATENATE('Annex 2'!A4, ": ",'Annex 2'!B4," graded reviews
", "£", ROUND('Annex 2'!F4/1000,0),"bn directly evaluated")</f>
        <v>DFID: 57 graded reviews
£25bn directly evaluated</v>
      </c>
      <c r="B2" s="122" t="s">
        <v>379</v>
      </c>
      <c r="C2" s="174">
        <f>'Annex 2'!G4/SUM('Annex 2'!$G4:$J4)</f>
        <v>2.0813135862364697E-2</v>
      </c>
      <c r="D2" s="174">
        <f>'Annex 2'!H4/SUM('Annex 2'!$G4:$J4)</f>
        <v>0.76566066003281075</v>
      </c>
      <c r="E2" s="174">
        <f>'Annex 2'!I4/SUM('Annex 2'!$G4:$J4)</f>
        <v>0.20823713039315792</v>
      </c>
      <c r="F2" s="174">
        <f>'Annex 2'!J4/SUM('Annex 2'!$G4:$J4)</f>
        <v>5.2890737116666475E-3</v>
      </c>
      <c r="G2" s="174"/>
    </row>
    <row r="3" spans="1:7" x14ac:dyDescent="0.2">
      <c r="A3" s="488"/>
      <c r="B3" s="122" t="s">
        <v>378</v>
      </c>
      <c r="C3" s="174">
        <f>'Annex 2'!G4/SUM('Annex 2'!$G4:$K4)</f>
        <v>1.7373648811808386E-2</v>
      </c>
      <c r="D3" s="174">
        <f>'Annex 2'!H4/SUM('Annex 2'!$G4:$K4)</f>
        <v>0.63913095577689261</v>
      </c>
      <c r="E3" s="174">
        <f>'Annex 2'!I4/SUM('Annex 2'!$G4:$K4)</f>
        <v>0.17382478051139927</v>
      </c>
      <c r="F3" s="174">
        <f>'Annex 2'!J4/SUM('Annex 2'!$G4:$K4)</f>
        <v>4.4150247139079614E-3</v>
      </c>
      <c r="G3" s="174">
        <f>'Annex 2'!K4/SUM('Annex 2'!$G4:$K4)</f>
        <v>0.1652555901859917</v>
      </c>
    </row>
    <row r="4" spans="1:7" ht="12.6" customHeight="1" x14ac:dyDescent="0.2">
      <c r="A4" s="488" t="str">
        <f>CONCATENATE('Annex 2'!A5, ": ",'Annex 2'!B5," graded reviews
", "£", ROUND('Annex 2'!F5/1000,0),"bn directly evaluated")</f>
        <v>FCO: 4 graded reviews
£1bn directly evaluated</v>
      </c>
      <c r="B4" s="122" t="s">
        <v>379</v>
      </c>
      <c r="C4" s="174">
        <f>'Annex 2'!G5/SUM('Annex 2'!$G5:$J5)</f>
        <v>0</v>
      </c>
      <c r="D4" s="174">
        <f>'Annex 2'!H5/SUM('Annex 2'!$G5:$J5)</f>
        <v>0.21441215754190662</v>
      </c>
      <c r="E4" s="174">
        <f>'Annex 2'!I5/SUM('Annex 2'!$G5:$J5)</f>
        <v>0.78558784245809343</v>
      </c>
      <c r="F4" s="174">
        <f>'Annex 2'!J5/SUM('Annex 2'!$G5:$J5)</f>
        <v>0</v>
      </c>
      <c r="G4" s="174"/>
    </row>
    <row r="5" spans="1:7" x14ac:dyDescent="0.2">
      <c r="A5" s="488"/>
      <c r="B5" s="122" t="s">
        <v>378</v>
      </c>
      <c r="C5" s="174">
        <f>'Annex 2'!G5/SUM('Annex 2'!$G5:$K5)</f>
        <v>0</v>
      </c>
      <c r="D5" s="174">
        <f>'Annex 2'!H5/SUM('Annex 2'!$G5:$K5)</f>
        <v>4.4945671612999158E-2</v>
      </c>
      <c r="E5" s="174">
        <f>'Annex 2'!I5/SUM('Annex 2'!$G5:$K5)</f>
        <v>0.16467710411143513</v>
      </c>
      <c r="F5" s="174">
        <f>'Annex 2'!J5/SUM('Annex 2'!$G5:$K5)</f>
        <v>0</v>
      </c>
      <c r="G5" s="174">
        <f>'Annex 2'!K5/SUM('Annex 2'!$G5:$K5)</f>
        <v>0.79037722427556567</v>
      </c>
    </row>
    <row r="6" spans="1:7" ht="12.6" customHeight="1" x14ac:dyDescent="0.2">
      <c r="A6" s="488" t="str">
        <f>CONCATENATE('Annex 2'!A6, ": ",'Annex 2'!B6," graded reviews
", "£", ROUND('Annex 2'!F6/1000,0),"bn directly evaluated")</f>
        <v>BEIS: 0 graded reviews
£1bn directly evaluated</v>
      </c>
      <c r="B6" s="122" t="s">
        <v>379</v>
      </c>
      <c r="C6" s="174">
        <f>IFERROR('Annex 2'!G6/SUM('Annex 2'!G6:J6),0)</f>
        <v>0</v>
      </c>
      <c r="D6" s="174">
        <f>IFERROR('Annex 2'!H6/SUM('Annex 2'!H6:K6),0)</f>
        <v>0</v>
      </c>
      <c r="E6" s="174">
        <f>IFERROR('Annex 2'!I6/SUM('Annex 2'!I6:L6),0)</f>
        <v>0</v>
      </c>
      <c r="F6" s="174">
        <f>IFERROR('Annex 2'!J6/SUM('Annex 2'!J6:M6),0)</f>
        <v>0</v>
      </c>
      <c r="G6" s="174"/>
    </row>
    <row r="7" spans="1:7" x14ac:dyDescent="0.2">
      <c r="A7" s="488"/>
      <c r="B7" s="122" t="s">
        <v>378</v>
      </c>
      <c r="C7" s="174">
        <f>'Annex 2'!G6/SUM('Annex 2'!$G6:$K6)</f>
        <v>0</v>
      </c>
      <c r="D7" s="174">
        <f>'Annex 2'!H6/SUM('Annex 2'!$G6:$K6)</f>
        <v>0</v>
      </c>
      <c r="E7" s="174">
        <f>'Annex 2'!I6/SUM('Annex 2'!$G6:$K6)</f>
        <v>0</v>
      </c>
      <c r="F7" s="174">
        <f>'Annex 2'!J6/SUM('Annex 2'!$G6:$K6)</f>
        <v>0</v>
      </c>
      <c r="G7" s="174">
        <f>'Annex 2'!K6/SUM('Annex 2'!$G6:$K6)</f>
        <v>1</v>
      </c>
    </row>
    <row r="8" spans="1:7" x14ac:dyDescent="0.2">
      <c r="A8" s="488" t="str">
        <f>CONCATENATE('Annex 2'!A8, ": ",'Annex 2'!B9,"graded reviews
", "£", ROUND('Annex 2'!F9/1000,0),"bn directly evaluated")</f>
        <v>Home Office: 1graded reviews
£0bn directly evaluated</v>
      </c>
      <c r="B8" s="122" t="s">
        <v>378</v>
      </c>
      <c r="C8" s="174">
        <f>IFERROR('Annex 2'!G8/SUM('Annex 2'!G8:J8),0)</f>
        <v>0</v>
      </c>
      <c r="D8" s="174">
        <f>IFERROR('Annex 2'!H8/SUM('Annex 2'!H8:K8),0)</f>
        <v>0</v>
      </c>
      <c r="E8" s="174">
        <f>IFERROR('Annex 2'!I8/SUM('Annex 2'!I8:L8),0)</f>
        <v>0</v>
      </c>
      <c r="F8" s="174">
        <f>IFERROR('Annex 2'!J8/SUM('Annex 2'!J8:M8),0)</f>
        <v>0</v>
      </c>
    </row>
    <row r="9" spans="1:7" x14ac:dyDescent="0.2">
      <c r="A9" s="488"/>
      <c r="B9" s="122" t="s">
        <v>379</v>
      </c>
      <c r="C9" s="174">
        <f>IFERROR('Annex 2'!G8/SUM('Annex 2'!G8:K8),0)</f>
        <v>0</v>
      </c>
      <c r="D9" s="174">
        <f>IFERROR('Annex 2'!H8/SUM('Annex 2'!H8:L8),0)</f>
        <v>0</v>
      </c>
      <c r="E9" s="174">
        <f>IFERROR('Annex 2'!I8/SUM('Annex 2'!I8:M8),0)</f>
        <v>0</v>
      </c>
      <c r="F9" s="174">
        <f>IFERROR('Annex 2'!J8/SUM('Annex 2'!J8:N8),0)</f>
        <v>0</v>
      </c>
      <c r="G9" s="174">
        <f>IFERROR('Annex 2'!K8/SUM('Annex 2'!K8:O8),0)</f>
        <v>0</v>
      </c>
    </row>
  </sheetData>
  <mergeCells count="4">
    <mergeCell ref="A2:A3"/>
    <mergeCell ref="A4:A5"/>
    <mergeCell ref="A6:A7"/>
    <mergeCell ref="A8:A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A6BA-03BF-4093-AB53-EE4B3D4961EB}">
  <dimension ref="A1:G9"/>
  <sheetViews>
    <sheetView workbookViewId="0">
      <selection activeCell="A2" sqref="A2:A3"/>
    </sheetView>
  </sheetViews>
  <sheetFormatPr defaultRowHeight="12.75" x14ac:dyDescent="0.2"/>
  <cols>
    <col min="2" max="2" width="17.42578125" bestFit="1" customWidth="1"/>
  </cols>
  <sheetData>
    <row r="1" spans="1:7" ht="25.5" x14ac:dyDescent="0.2">
      <c r="A1" s="69"/>
      <c r="B1" s="122"/>
      <c r="C1" s="100" t="s">
        <v>27</v>
      </c>
      <c r="D1" s="100" t="s">
        <v>7</v>
      </c>
      <c r="E1" s="100" t="s">
        <v>16</v>
      </c>
      <c r="F1" s="100" t="s">
        <v>21</v>
      </c>
      <c r="G1" s="100" t="s">
        <v>63</v>
      </c>
    </row>
    <row r="2" spans="1:7" x14ac:dyDescent="0.2">
      <c r="A2" s="488" t="str">
        <f>CONCATENATE('Annex 2'!A4, ": ",'Annex 2'!B4," reviews
", "£", ROUND('Annex 3'!E4/1000,0),"bn indirectly evaluated")</f>
        <v>DFID: 57 reviews
£56bn indirectly evaluated</v>
      </c>
      <c r="B2" s="122" t="s">
        <v>379</v>
      </c>
      <c r="C2" s="174">
        <f>'Annex 3'!G4/SUM('Annex 3'!$G4:$J4)</f>
        <v>8.4148621302975925E-3</v>
      </c>
      <c r="D2" s="174">
        <f>'Annex 3'!H4/SUM('Annex 3'!$G4:$J4)</f>
        <v>0.76881786119253892</v>
      </c>
      <c r="E2" s="174">
        <f>'Annex 3'!I4/SUM('Annex 3'!$G4:$J4)</f>
        <v>0.22062887589147817</v>
      </c>
      <c r="F2" s="174">
        <f>'Annex 3'!J4/SUM('Annex 3'!$G4:$J4)</f>
        <v>2.138400785685331E-3</v>
      </c>
      <c r="G2" s="174"/>
    </row>
    <row r="3" spans="1:7" x14ac:dyDescent="0.2">
      <c r="A3" s="488"/>
      <c r="B3" s="122" t="s">
        <v>378</v>
      </c>
      <c r="C3" s="174">
        <f>'Annex 3'!G4/SUM('Annex 3'!$G4:$K4)</f>
        <v>7.6730110158199838E-3</v>
      </c>
      <c r="D3" s="174">
        <f>'Annex 3'!H4/SUM('Annex 3'!$G4:$K4)</f>
        <v>0.70103916460493276</v>
      </c>
      <c r="E3" s="174">
        <f>'Annex 3'!I4/SUM('Annex 3'!$G4:$K4)</f>
        <v>0.20117831628257737</v>
      </c>
      <c r="F3" s="174">
        <f>'Annex 3'!J4/SUM('Annex 3'!$G4:$K4)</f>
        <v>1.9498801680570589E-3</v>
      </c>
      <c r="G3" s="174">
        <f>'Annex 3'!K4/SUM('Annex 3'!$G4:$K4)</f>
        <v>8.8159627928612844E-2</v>
      </c>
    </row>
    <row r="4" spans="1:7" x14ac:dyDescent="0.2">
      <c r="A4" s="488" t="str">
        <f>CONCATENATE('Annex 2'!A5, ": ",'Annex 2'!B5," reviews
", "£", ROUND('Annex 3'!E5/1000,0),"bn indirectly evaluated")</f>
        <v>FCO: 4 reviews
£2bn indirectly evaluated</v>
      </c>
      <c r="B4" s="122" t="s">
        <v>379</v>
      </c>
      <c r="C4" s="174">
        <f>'Annex 3'!G5/SUM('Annex 3'!$G5:$J5)</f>
        <v>0</v>
      </c>
      <c r="D4" s="174">
        <f>'Annex 3'!H5/SUM('Annex 3'!$G5:$J5)</f>
        <v>0.11313453221033462</v>
      </c>
      <c r="E4" s="174">
        <f>'Annex 3'!I5/SUM('Annex 3'!$G5:$J5)</f>
        <v>0.88686546778966535</v>
      </c>
      <c r="F4" s="174">
        <f>'Annex 3'!J5/SUM('Annex 3'!$G5:$J5)</f>
        <v>0</v>
      </c>
      <c r="G4" s="174"/>
    </row>
    <row r="5" spans="1:7" x14ac:dyDescent="0.2">
      <c r="A5" s="488"/>
      <c r="B5" s="122" t="s">
        <v>378</v>
      </c>
      <c r="C5" s="174">
        <f>'Annex 3'!G5/SUM('Annex 3'!$G5:$K5)</f>
        <v>0</v>
      </c>
      <c r="D5" s="174">
        <f>'Annex 3'!H5/SUM('Annex 3'!$G5:$K5)</f>
        <v>5.0027681312597515E-2</v>
      </c>
      <c r="E5" s="174">
        <f>'Annex 3'!I5/SUM('Annex 3'!$G5:$K5)</f>
        <v>0.39216870501786705</v>
      </c>
      <c r="F5" s="174">
        <f>'Annex 3'!J5/SUM('Annex 3'!$G5:$K5)</f>
        <v>0</v>
      </c>
      <c r="G5" s="174">
        <f>'Annex 3'!K5/SUM('Annex 3'!$G5:$K5)</f>
        <v>0.55780361366953546</v>
      </c>
    </row>
    <row r="6" spans="1:7" x14ac:dyDescent="0.2">
      <c r="A6" s="488" t="str">
        <f>CONCATENATE('Annex 2'!A6, ": ",'Annex 2'!B6," reviews
", "£", ROUND('Annex 3'!E6/1000,0),"bn indirectly evaluated")</f>
        <v>BEIS: 0 reviews
£2bn indirectly evaluated</v>
      </c>
      <c r="B6" s="122" t="s">
        <v>379</v>
      </c>
      <c r="C6" s="174">
        <f>IFERROR('Annex 3'!G6/SUM('Annex 3'!G6:J6),0)</f>
        <v>0</v>
      </c>
      <c r="D6" s="174">
        <f>IFERROR('Annex 3'!H6/SUM('Annex 3'!H6:K6),0)</f>
        <v>0</v>
      </c>
      <c r="E6" s="174">
        <f>IFERROR('Annex 3'!I6/SUM('Annex 3'!I6:K6),0)</f>
        <v>0</v>
      </c>
      <c r="F6" s="174">
        <f>IFERROR('Annex 3'!J6/SUM('Annex 3'!J6:K6),0)</f>
        <v>0</v>
      </c>
      <c r="G6" s="174"/>
    </row>
    <row r="7" spans="1:7" x14ac:dyDescent="0.2">
      <c r="A7" s="488"/>
      <c r="B7" s="122" t="s">
        <v>378</v>
      </c>
      <c r="C7" s="174">
        <f>'Annex 3'!G6/SUM('Annex 3'!$G6:$K6)</f>
        <v>0</v>
      </c>
      <c r="D7" s="174">
        <f>'Annex 3'!H6/SUM('Annex 3'!$G6:$K6)</f>
        <v>0</v>
      </c>
      <c r="E7" s="174">
        <f>'Annex 3'!I6/SUM('Annex 3'!$G6:$K6)</f>
        <v>0</v>
      </c>
      <c r="F7" s="174">
        <f>'Annex 3'!J6/SUM('Annex 3'!$G6:$K6)</f>
        <v>0</v>
      </c>
      <c r="G7" s="174">
        <f>'Annex 3'!K6/SUM('Annex 3'!$G6:$K6)</f>
        <v>1</v>
      </c>
    </row>
    <row r="8" spans="1:7" x14ac:dyDescent="0.2">
      <c r="A8" s="488" t="str">
        <f>CONCATENATE('Annex 2'!A8, ": ",'Annex 2'!B8," reviews
", "£", ROUND('Annex 3'!E8/1000,2),"bn indirectly evaluated")</f>
        <v>Home Office: 1 reviews
£0.02bn indirectly evaluated</v>
      </c>
      <c r="B8" s="122" t="s">
        <v>378</v>
      </c>
      <c r="C8" s="174">
        <f>'Annex 3'!G8/SUM('Annex 3'!$G8:$J8)</f>
        <v>0</v>
      </c>
      <c r="D8" s="174">
        <f>'Annex 3'!H8/SUM('Annex 3'!$G8:$J8)</f>
        <v>0</v>
      </c>
      <c r="E8" s="174">
        <f>'Annex 3'!I8/SUM('Annex 3'!$G8:$J8)</f>
        <v>1</v>
      </c>
      <c r="F8" s="174">
        <f>'Annex 3'!J8/SUM('Annex 3'!$G8:$J8)</f>
        <v>0</v>
      </c>
      <c r="G8" s="174"/>
    </row>
    <row r="9" spans="1:7" x14ac:dyDescent="0.2">
      <c r="A9" s="488"/>
      <c r="B9" s="122" t="s">
        <v>379</v>
      </c>
      <c r="C9" s="174">
        <f>'Annex 3'!G8/SUM('Annex 3'!$G8:$K8)</f>
        <v>0</v>
      </c>
      <c r="D9" s="174">
        <f>'Annex 3'!H8/SUM('Annex 3'!$G8:$K8)</f>
        <v>0</v>
      </c>
      <c r="E9" s="174">
        <f>'Annex 3'!I8/SUM('Annex 3'!$G8:$K8)</f>
        <v>1</v>
      </c>
      <c r="F9" s="174">
        <f>'Annex 3'!J8/SUM('Annex 3'!$G8:$K8)</f>
        <v>0</v>
      </c>
      <c r="G9" s="174">
        <f>'Annex 3'!K8/SUM('Annex 3'!$G8:$K8)</f>
        <v>0</v>
      </c>
    </row>
  </sheetData>
  <mergeCells count="4">
    <mergeCell ref="A2:A3"/>
    <mergeCell ref="A4:A5"/>
    <mergeCell ref="A6:A7"/>
    <mergeCell ref="A8:A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545DA-2A9F-4666-A52B-ED15E82E7DCE}">
  <dimension ref="A1:K38"/>
  <sheetViews>
    <sheetView workbookViewId="0">
      <selection activeCell="J5" sqref="J5"/>
    </sheetView>
  </sheetViews>
  <sheetFormatPr defaultRowHeight="12.75" x14ac:dyDescent="0.2"/>
  <cols>
    <col min="1" max="1" width="49.42578125" bestFit="1" customWidth="1"/>
    <col min="2" max="4" width="4.85546875" bestFit="1" customWidth="1"/>
    <col min="5" max="6" width="5.85546875" bestFit="1" customWidth="1"/>
    <col min="7" max="7" width="6" customWidth="1"/>
    <col min="8" max="8" width="5.42578125" customWidth="1"/>
    <col min="9" max="9" width="7.140625" customWidth="1"/>
    <col min="10" max="10" width="10.42578125" bestFit="1" customWidth="1"/>
    <col min="11" max="11" width="10" bestFit="1" customWidth="1"/>
  </cols>
  <sheetData>
    <row r="1" spans="1:11" s="121" customFormat="1" x14ac:dyDescent="0.2">
      <c r="A1" s="489" t="s">
        <v>247</v>
      </c>
      <c r="B1" s="489"/>
      <c r="C1" s="489"/>
      <c r="D1" s="489"/>
      <c r="E1" s="489"/>
      <c r="F1" s="489"/>
      <c r="G1" s="489"/>
      <c r="H1" s="489"/>
      <c r="I1" s="490"/>
      <c r="J1" s="490"/>
    </row>
    <row r="2" spans="1:11" s="103" customFormat="1" x14ac:dyDescent="0.2">
      <c r="A2" s="118" t="s">
        <v>1</v>
      </c>
      <c r="B2" s="117">
        <v>2010</v>
      </c>
      <c r="C2" s="117">
        <v>2011</v>
      </c>
      <c r="D2" s="117">
        <v>2012</v>
      </c>
      <c r="E2" s="117">
        <v>2013</v>
      </c>
      <c r="F2" s="117">
        <v>2014</v>
      </c>
      <c r="G2" s="117">
        <v>2015</v>
      </c>
      <c r="H2" s="117">
        <v>2016</v>
      </c>
      <c r="I2" s="117">
        <v>2017</v>
      </c>
      <c r="J2" s="117" t="s">
        <v>91</v>
      </c>
      <c r="K2" s="200" t="s">
        <v>390</v>
      </c>
    </row>
    <row r="3" spans="1:11" x14ac:dyDescent="0.2">
      <c r="A3" s="118" t="s">
        <v>213</v>
      </c>
      <c r="B3" s="268">
        <v>7463</v>
      </c>
      <c r="C3" s="268">
        <v>7722</v>
      </c>
      <c r="D3" s="268">
        <f>7624+D24</f>
        <v>7635.3945721500004</v>
      </c>
      <c r="E3" s="268">
        <f>10016+E24</f>
        <v>10029.85314737</v>
      </c>
      <c r="F3" s="268">
        <f>10084+F24</f>
        <v>10113.37949175</v>
      </c>
      <c r="G3" s="268">
        <f>9772+G24</f>
        <v>9840.6805489750004</v>
      </c>
      <c r="H3" s="268">
        <f>9871+H24</f>
        <v>9992.5462723300006</v>
      </c>
      <c r="I3" s="268">
        <f>10104.9820337615+I24+I33</f>
        <v>10220.6021064215</v>
      </c>
      <c r="J3" s="198">
        <f>SUM(B3:I3)</f>
        <v>73017.456138996495</v>
      </c>
      <c r="K3" s="201">
        <f>J3/SUM(J$3:J$18)</f>
        <v>0.81134590189858102</v>
      </c>
    </row>
    <row r="4" spans="1:11" x14ac:dyDescent="0.2">
      <c r="A4" s="118" t="s">
        <v>99</v>
      </c>
      <c r="B4" s="268">
        <v>844</v>
      </c>
      <c r="C4" s="268">
        <v>680</v>
      </c>
      <c r="D4" s="268">
        <v>699</v>
      </c>
      <c r="E4" s="268">
        <v>689</v>
      </c>
      <c r="F4" s="268">
        <v>374</v>
      </c>
      <c r="G4" s="268">
        <v>426</v>
      </c>
      <c r="H4" s="268">
        <v>498</v>
      </c>
      <c r="I4" s="268">
        <v>439</v>
      </c>
      <c r="J4" s="268">
        <f>SUM(B4:I4)</f>
        <v>4649</v>
      </c>
      <c r="K4" s="201">
        <f>J4/SUM(J$3:J$18)</f>
        <v>5.1658155424453581E-2</v>
      </c>
    </row>
    <row r="5" spans="1:11" x14ac:dyDescent="0.2">
      <c r="A5" s="118" t="s">
        <v>109</v>
      </c>
      <c r="B5" s="268">
        <v>260</v>
      </c>
      <c r="C5" s="428">
        <v>144</v>
      </c>
      <c r="D5" s="429">
        <v>246.37587186499999</v>
      </c>
      <c r="E5" s="268">
        <v>408</v>
      </c>
      <c r="F5" s="268">
        <v>192</v>
      </c>
      <c r="G5" s="268">
        <v>527</v>
      </c>
      <c r="H5" s="268" t="s">
        <v>246</v>
      </c>
      <c r="I5" s="268" t="s">
        <v>246</v>
      </c>
      <c r="J5" s="268">
        <f t="shared" ref="J5:J18" si="0">SUM(B5:I5)</f>
        <v>1777.3758718650001</v>
      </c>
      <c r="K5" s="201">
        <f t="shared" ref="K5:K18" si="1">J5/SUM(J$3:J$18)</f>
        <v>1.9749614763707436E-2</v>
      </c>
    </row>
    <row r="6" spans="1:11" x14ac:dyDescent="0.2">
      <c r="A6" s="118" t="s">
        <v>215</v>
      </c>
      <c r="B6" s="268" t="s">
        <v>246</v>
      </c>
      <c r="C6" s="268" t="s">
        <v>246</v>
      </c>
      <c r="D6" s="268" t="s">
        <v>246</v>
      </c>
      <c r="E6" s="268" t="s">
        <v>246</v>
      </c>
      <c r="F6" s="268" t="s">
        <v>246</v>
      </c>
      <c r="G6" s="268" t="s">
        <v>246</v>
      </c>
      <c r="H6" s="268">
        <v>696</v>
      </c>
      <c r="I6" s="268">
        <v>768.64897453220635</v>
      </c>
      <c r="J6" s="268">
        <f t="shared" si="0"/>
        <v>1464.6489745322065</v>
      </c>
      <c r="K6" s="201">
        <f t="shared" si="1"/>
        <v>1.6274696573166547E-2</v>
      </c>
    </row>
    <row r="7" spans="1:11" x14ac:dyDescent="0.2">
      <c r="A7" s="118" t="s">
        <v>238</v>
      </c>
      <c r="B7" s="268">
        <v>0</v>
      </c>
      <c r="C7" s="268">
        <v>144</v>
      </c>
      <c r="D7" s="268">
        <v>188</v>
      </c>
      <c r="E7" s="268">
        <v>198</v>
      </c>
      <c r="F7" s="268">
        <v>180</v>
      </c>
      <c r="G7" s="268">
        <v>324</v>
      </c>
      <c r="H7" s="268">
        <v>601</v>
      </c>
      <c r="I7" s="268">
        <v>556.51124800000002</v>
      </c>
      <c r="J7" s="268">
        <f t="shared" si="0"/>
        <v>2191.5112479999998</v>
      </c>
      <c r="K7" s="201">
        <f t="shared" si="1"/>
        <v>2.4351350540680196E-2</v>
      </c>
    </row>
    <row r="8" spans="1:11" x14ac:dyDescent="0.2">
      <c r="A8" s="118" t="s">
        <v>107</v>
      </c>
      <c r="B8" s="268">
        <v>301</v>
      </c>
      <c r="C8" s="268">
        <v>321</v>
      </c>
      <c r="D8" s="268">
        <f>282+D23</f>
        <v>458.00265105239987</v>
      </c>
      <c r="E8" s="268">
        <f>295+E23</f>
        <v>477.69240204070007</v>
      </c>
      <c r="F8" s="268">
        <f>366+F23</f>
        <v>515.21167172699995</v>
      </c>
      <c r="G8" s="268">
        <f>391+G23</f>
        <v>631.19879972499996</v>
      </c>
      <c r="H8" s="268">
        <f>504+H23+H31</f>
        <v>969.10385767866319</v>
      </c>
      <c r="I8" s="430">
        <f>560.07139055+I23+I31</f>
        <v>984.43137930919966</v>
      </c>
      <c r="J8" s="268">
        <f t="shared" si="0"/>
        <v>4657.6407615329626</v>
      </c>
      <c r="K8" s="201">
        <f t="shared" si="1"/>
        <v>5.1754168718120053E-2</v>
      </c>
    </row>
    <row r="9" spans="1:11" x14ac:dyDescent="0.2">
      <c r="A9" s="118" t="s">
        <v>13</v>
      </c>
      <c r="B9" s="268">
        <v>0</v>
      </c>
      <c r="C9" s="268">
        <v>0</v>
      </c>
      <c r="D9" s="268">
        <v>29</v>
      </c>
      <c r="E9" s="268">
        <v>33</v>
      </c>
      <c r="F9" s="268">
        <v>136</v>
      </c>
      <c r="G9" s="268">
        <f>222+G27</f>
        <v>222.65096775000001</v>
      </c>
      <c r="H9" s="268">
        <f>360+H27</f>
        <v>376.96849760840001</v>
      </c>
      <c r="I9" s="268">
        <f>334.924056+I27</f>
        <v>353.80777899999998</v>
      </c>
      <c r="J9" s="268">
        <f t="shared" si="0"/>
        <v>1151.4272443584</v>
      </c>
      <c r="K9" s="201">
        <f t="shared" si="1"/>
        <v>1.2794279963221449E-2</v>
      </c>
    </row>
    <row r="10" spans="1:11" s="103" customFormat="1" ht="15" x14ac:dyDescent="0.25">
      <c r="A10" s="118" t="s">
        <v>111</v>
      </c>
      <c r="B10" s="268">
        <v>0</v>
      </c>
      <c r="C10" s="268">
        <v>0</v>
      </c>
      <c r="D10" s="431">
        <v>48</v>
      </c>
      <c r="E10" s="268">
        <v>49</v>
      </c>
      <c r="F10" s="268">
        <v>79</v>
      </c>
      <c r="G10" s="268" t="s">
        <v>246</v>
      </c>
      <c r="H10" s="268" t="s">
        <v>246</v>
      </c>
      <c r="I10" s="268" t="s">
        <v>246</v>
      </c>
      <c r="J10" s="268">
        <f t="shared" si="0"/>
        <v>176</v>
      </c>
      <c r="K10" s="201">
        <f t="shared" si="1"/>
        <v>1.9556539803621919E-3</v>
      </c>
    </row>
    <row r="11" spans="1:11" x14ac:dyDescent="0.2">
      <c r="A11" s="118" t="s">
        <v>112</v>
      </c>
      <c r="B11" s="268"/>
      <c r="C11" s="268"/>
      <c r="D11" s="268">
        <v>0</v>
      </c>
      <c r="E11" s="268"/>
      <c r="F11" s="268"/>
      <c r="G11" s="268">
        <v>0</v>
      </c>
      <c r="H11" s="268">
        <v>73</v>
      </c>
      <c r="I11" s="268"/>
      <c r="J11" s="268">
        <f t="shared" si="0"/>
        <v>73</v>
      </c>
      <c r="K11" s="201">
        <f t="shared" si="1"/>
        <v>8.1115193503659099E-4</v>
      </c>
    </row>
    <row r="12" spans="1:11" x14ac:dyDescent="0.2">
      <c r="A12" s="118" t="s">
        <v>113</v>
      </c>
      <c r="B12" s="268">
        <v>0</v>
      </c>
      <c r="C12" s="268">
        <v>0</v>
      </c>
      <c r="D12" s="268">
        <v>22</v>
      </c>
      <c r="E12" s="268">
        <v>40</v>
      </c>
      <c r="F12" s="268">
        <v>57</v>
      </c>
      <c r="G12" s="268">
        <v>57</v>
      </c>
      <c r="H12" s="268">
        <v>66</v>
      </c>
      <c r="I12" s="268">
        <v>67.06760731</v>
      </c>
      <c r="J12" s="268">
        <f t="shared" si="0"/>
        <v>309.06760730999997</v>
      </c>
      <c r="K12" s="201">
        <f t="shared" si="1"/>
        <v>3.4342573661182972E-3</v>
      </c>
    </row>
    <row r="13" spans="1:11" x14ac:dyDescent="0.2">
      <c r="A13" s="118" t="s">
        <v>114</v>
      </c>
      <c r="B13" s="268">
        <v>0</v>
      </c>
      <c r="C13" s="268">
        <v>0</v>
      </c>
      <c r="D13" s="268"/>
      <c r="E13" s="268">
        <v>11</v>
      </c>
      <c r="F13" s="268">
        <v>12</v>
      </c>
      <c r="G13" s="268"/>
      <c r="H13" s="268"/>
      <c r="I13" s="268"/>
      <c r="J13" s="268">
        <f t="shared" si="0"/>
        <v>23</v>
      </c>
      <c r="K13" s="201">
        <f t="shared" si="1"/>
        <v>2.5556841788824096E-4</v>
      </c>
    </row>
    <row r="14" spans="1:11" x14ac:dyDescent="0.2">
      <c r="A14" s="118" t="s">
        <v>115</v>
      </c>
      <c r="B14" s="268">
        <v>0</v>
      </c>
      <c r="C14" s="268">
        <v>0</v>
      </c>
      <c r="D14" s="268">
        <v>15</v>
      </c>
      <c r="E14" s="268">
        <v>12</v>
      </c>
      <c r="F14" s="268">
        <v>11</v>
      </c>
      <c r="G14" s="268">
        <v>32</v>
      </c>
      <c r="H14" s="268">
        <v>46</v>
      </c>
      <c r="I14" s="268">
        <v>100.85783859</v>
      </c>
      <c r="J14" s="268">
        <f t="shared" si="0"/>
        <v>216.85783859</v>
      </c>
      <c r="K14" s="201">
        <f t="shared" si="1"/>
        <v>2.4096528137004273E-3</v>
      </c>
    </row>
    <row r="15" spans="1:11" x14ac:dyDescent="0.2">
      <c r="A15" s="118" t="s">
        <v>117</v>
      </c>
      <c r="B15" s="268">
        <v>0</v>
      </c>
      <c r="C15" s="268">
        <v>5</v>
      </c>
      <c r="D15" s="268"/>
      <c r="E15" s="268">
        <v>10</v>
      </c>
      <c r="F15" s="268">
        <v>8</v>
      </c>
      <c r="G15" s="268"/>
      <c r="H15" s="268"/>
      <c r="I15" s="268"/>
      <c r="J15" s="268">
        <f t="shared" si="0"/>
        <v>23</v>
      </c>
      <c r="K15" s="201">
        <f t="shared" si="1"/>
        <v>2.5556841788824096E-4</v>
      </c>
    </row>
    <row r="16" spans="1:11" x14ac:dyDescent="0.2">
      <c r="A16" s="118" t="s">
        <v>120</v>
      </c>
      <c r="B16" s="268">
        <v>54</v>
      </c>
      <c r="C16" s="268"/>
      <c r="D16" s="268"/>
      <c r="E16" s="268">
        <v>30</v>
      </c>
      <c r="F16" s="268">
        <v>3</v>
      </c>
      <c r="G16" s="268"/>
      <c r="H16" s="268"/>
      <c r="I16" s="268">
        <v>45.974398000000001</v>
      </c>
      <c r="J16" s="268">
        <f t="shared" si="0"/>
        <v>132.97439800000001</v>
      </c>
      <c r="K16" s="201">
        <f t="shared" si="1"/>
        <v>1.4775676746304903E-3</v>
      </c>
    </row>
    <row r="17" spans="1:11" s="145" customFormat="1" x14ac:dyDescent="0.2">
      <c r="A17" s="118" t="s">
        <v>83</v>
      </c>
      <c r="B17" s="268"/>
      <c r="C17" s="268"/>
      <c r="D17" s="268"/>
      <c r="E17" s="268"/>
      <c r="F17" s="268"/>
      <c r="G17" s="268">
        <f>G25</f>
        <v>9.2588282330000009</v>
      </c>
      <c r="H17" s="268">
        <f>H25+H34</f>
        <v>16.000830429999997</v>
      </c>
      <c r="I17" s="268">
        <f>I25+I34</f>
        <v>20.449298529999897</v>
      </c>
      <c r="J17" s="268">
        <f t="shared" si="0"/>
        <v>45.70895719299989</v>
      </c>
      <c r="K17" s="201">
        <f t="shared" si="1"/>
        <v>5.0790286404940501E-4</v>
      </c>
    </row>
    <row r="18" spans="1:11" x14ac:dyDescent="0.2">
      <c r="A18" s="118" t="s">
        <v>121</v>
      </c>
      <c r="B18" s="268">
        <v>0</v>
      </c>
      <c r="C18" s="268">
        <v>0</v>
      </c>
      <c r="D18" s="268">
        <v>5</v>
      </c>
      <c r="E18" s="268">
        <f>3+E26</f>
        <v>4.5001925000000007</v>
      </c>
      <c r="F18" s="268">
        <f>2+F26</f>
        <v>3.5386253300000003</v>
      </c>
      <c r="G18" s="268">
        <f>9+G26</f>
        <v>13.37368397</v>
      </c>
      <c r="H18" s="268">
        <f>5+H26</f>
        <v>18.632157945307043</v>
      </c>
      <c r="I18" s="268">
        <f>28.697694+I26</f>
        <v>41.756749820099998</v>
      </c>
      <c r="J18" s="268">
        <f t="shared" si="0"/>
        <v>86.801409565407042</v>
      </c>
      <c r="K18" s="201">
        <f t="shared" si="1"/>
        <v>9.6450864839566538E-4</v>
      </c>
    </row>
    <row r="19" spans="1:11" x14ac:dyDescent="0.2">
      <c r="A19" s="135" t="s">
        <v>248</v>
      </c>
      <c r="K19" s="170"/>
    </row>
    <row r="20" spans="1:11" x14ac:dyDescent="0.2">
      <c r="A20" s="68"/>
    </row>
    <row r="21" spans="1:11" x14ac:dyDescent="0.2">
      <c r="A21" s="475" t="s">
        <v>429</v>
      </c>
      <c r="B21" s="475"/>
      <c r="C21" s="475"/>
      <c r="D21" s="475"/>
      <c r="E21" s="475"/>
      <c r="F21" s="475"/>
      <c r="G21" s="475"/>
      <c r="H21" s="475"/>
      <c r="I21" s="475"/>
    </row>
    <row r="22" spans="1:11" s="266" customFormat="1" x14ac:dyDescent="0.2">
      <c r="A22" s="267"/>
      <c r="B22" s="267">
        <v>2010</v>
      </c>
      <c r="C22" s="267">
        <v>2011</v>
      </c>
      <c r="D22" s="267">
        <v>2012</v>
      </c>
      <c r="E22" s="267">
        <v>2013</v>
      </c>
      <c r="F22" s="267">
        <v>2014</v>
      </c>
      <c r="G22" s="267">
        <v>2015</v>
      </c>
      <c r="H22" s="267">
        <v>2016</v>
      </c>
      <c r="I22" s="267">
        <v>2017</v>
      </c>
    </row>
    <row r="23" spans="1:11" x14ac:dyDescent="0.2">
      <c r="A23" s="271" t="str">
        <f>'SID raw cssf'!A8</f>
        <v>Foreign and Commonwealth Office</v>
      </c>
      <c r="B23" s="87"/>
      <c r="C23" s="87"/>
      <c r="D23" s="361">
        <f>'SID raw cssf'!V6</f>
        <v>176.0026510523999</v>
      </c>
      <c r="E23" s="361">
        <f>'SID raw cssf'!Y6</f>
        <v>182.69240204070007</v>
      </c>
      <c r="F23" s="361">
        <f>'SID raw cssf'!AB6</f>
        <v>149.21167172699992</v>
      </c>
      <c r="G23" s="87">
        <f>'SID raw cssf'!E8</f>
        <v>240.19879972499999</v>
      </c>
      <c r="H23" s="87">
        <f>'SID raw cssf'!H8</f>
        <v>431.05830401866325</v>
      </c>
      <c r="I23" s="87">
        <f>'SID raw cssf'!R8</f>
        <v>385.89465967919966</v>
      </c>
    </row>
    <row r="24" spans="1:11" x14ac:dyDescent="0.2">
      <c r="A24" s="271" t="str">
        <f>'SID raw cssf'!A9</f>
        <v>Department for International Development</v>
      </c>
      <c r="B24" s="87"/>
      <c r="C24" s="87"/>
      <c r="D24" s="361">
        <f>'SID raw cssf'!V7</f>
        <v>11.394572149999998</v>
      </c>
      <c r="E24" s="361">
        <f>'SID raw cssf'!Y7</f>
        <v>13.853147369999995</v>
      </c>
      <c r="F24" s="361">
        <f>'SID raw cssf'!AB7</f>
        <v>29.379491749999996</v>
      </c>
      <c r="G24" s="87">
        <f>'SID raw cssf'!E9</f>
        <v>68.680548975000022</v>
      </c>
      <c r="H24" s="87">
        <f>'SID raw cssf'!H9</f>
        <v>121.54627232999999</v>
      </c>
      <c r="I24" s="87">
        <f>'SID raw cssf'!R9</f>
        <v>112.63575505999997</v>
      </c>
    </row>
    <row r="25" spans="1:11" x14ac:dyDescent="0.2">
      <c r="A25" s="271" t="str">
        <f>'SID raw cssf'!A10</f>
        <v>National Crime Agency</v>
      </c>
      <c r="B25" s="87"/>
      <c r="C25" s="87"/>
      <c r="D25" s="87"/>
      <c r="E25" s="87"/>
      <c r="F25" s="87"/>
      <c r="G25" s="87">
        <f>'SID raw cssf'!E10</f>
        <v>9.2588282330000009</v>
      </c>
      <c r="H25" s="87">
        <f>'SID raw cssf'!H10</f>
        <v>15.784435769999998</v>
      </c>
      <c r="I25" s="87">
        <f>'SID raw cssf'!R10</f>
        <v>19.362851189999898</v>
      </c>
    </row>
    <row r="26" spans="1:11" x14ac:dyDescent="0.2">
      <c r="A26" s="271" t="str">
        <f>'SID raw cssf'!A11</f>
        <v>Ministry of Defence</v>
      </c>
      <c r="B26" s="87"/>
      <c r="C26" s="87"/>
      <c r="D26" s="361">
        <f>'SID raw cssf'!V8</f>
        <v>0.25267459999999997</v>
      </c>
      <c r="E26" s="361">
        <f>'SID raw cssf'!Y8</f>
        <v>1.5001925000000003</v>
      </c>
      <c r="F26" s="361">
        <f>'SID raw cssf'!AB8</f>
        <v>1.5386253300000003</v>
      </c>
      <c r="G26" s="87">
        <f>'SID raw cssf'!E11</f>
        <v>4.3736839700000001</v>
      </c>
      <c r="H26" s="87">
        <f>'SID raw cssf'!H11</f>
        <v>13.632157945307041</v>
      </c>
      <c r="I26" s="87">
        <f>'SID raw cssf'!R11</f>
        <v>13.059055820100001</v>
      </c>
    </row>
    <row r="27" spans="1:11" x14ac:dyDescent="0.2">
      <c r="A27" s="271" t="str">
        <f>'SID raw cssf'!A12</f>
        <v>Home Office</v>
      </c>
      <c r="B27" s="87"/>
      <c r="C27" s="87"/>
      <c r="D27" s="87"/>
      <c r="E27" s="87"/>
      <c r="F27" s="87"/>
      <c r="G27" s="87">
        <f>'SID raw cssf'!E12</f>
        <v>0.65096774999999996</v>
      </c>
      <c r="H27" s="87">
        <f>'SID raw cssf'!H12</f>
        <v>16.9684976084</v>
      </c>
      <c r="I27" s="87">
        <f>'SID raw cssf'!R12</f>
        <v>18.883723000000003</v>
      </c>
    </row>
    <row r="28" spans="1:11" x14ac:dyDescent="0.2">
      <c r="A28" s="68"/>
    </row>
    <row r="29" spans="1:11" x14ac:dyDescent="0.2">
      <c r="A29" s="475" t="s">
        <v>435</v>
      </c>
      <c r="B29" s="475"/>
      <c r="C29" s="475"/>
      <c r="D29" s="475"/>
      <c r="E29" s="475"/>
      <c r="F29" s="475"/>
      <c r="G29" s="475"/>
      <c r="H29" s="475"/>
      <c r="I29" s="475"/>
    </row>
    <row r="30" spans="1:11" s="266" customFormat="1" x14ac:dyDescent="0.2">
      <c r="A30" s="271"/>
      <c r="B30" s="87"/>
      <c r="C30" s="87"/>
      <c r="D30" s="87"/>
      <c r="E30" s="87"/>
      <c r="F30" s="87"/>
      <c r="G30" s="87"/>
      <c r="H30" s="271">
        <v>2016</v>
      </c>
      <c r="I30" s="271">
        <v>2017</v>
      </c>
    </row>
    <row r="31" spans="1:11" x14ac:dyDescent="0.2">
      <c r="A31" s="87" t="s">
        <v>409</v>
      </c>
      <c r="B31" s="87"/>
      <c r="C31" s="87"/>
      <c r="D31" s="87"/>
      <c r="E31" s="87"/>
      <c r="F31" s="87"/>
      <c r="G31" s="87"/>
      <c r="H31" s="432">
        <v>34.045553659999989</v>
      </c>
      <c r="I31" s="432">
        <v>38.465329079999933</v>
      </c>
    </row>
    <row r="32" spans="1:11" x14ac:dyDescent="0.2">
      <c r="A32" s="87" t="s">
        <v>432</v>
      </c>
      <c r="B32" s="87"/>
      <c r="C32" s="87"/>
      <c r="D32" s="87"/>
      <c r="E32" s="87"/>
      <c r="F32" s="87"/>
      <c r="G32" s="87"/>
      <c r="H32" s="432">
        <v>0.66745699999999997</v>
      </c>
      <c r="I32" s="432">
        <v>3.0427102399999999</v>
      </c>
    </row>
    <row r="33" spans="1:9" x14ac:dyDescent="0.2">
      <c r="A33" s="87" t="s">
        <v>213</v>
      </c>
      <c r="B33" s="87"/>
      <c r="C33" s="87"/>
      <c r="D33" s="87"/>
      <c r="E33" s="87"/>
      <c r="F33" s="87"/>
      <c r="G33" s="87"/>
      <c r="H33" s="432">
        <v>2.4878050000000003</v>
      </c>
      <c r="I33" s="432">
        <v>2.9843175999999998</v>
      </c>
    </row>
    <row r="34" spans="1:9" x14ac:dyDescent="0.2">
      <c r="A34" s="87" t="s">
        <v>83</v>
      </c>
      <c r="B34" s="87"/>
      <c r="C34" s="87"/>
      <c r="D34" s="87"/>
      <c r="E34" s="87"/>
      <c r="F34" s="87"/>
      <c r="G34" s="87"/>
      <c r="H34" s="432">
        <v>0.21639465999999999</v>
      </c>
      <c r="I34" s="432">
        <v>1.0864473399999999</v>
      </c>
    </row>
    <row r="35" spans="1:9" x14ac:dyDescent="0.2">
      <c r="A35" s="87" t="s">
        <v>113</v>
      </c>
      <c r="B35" s="87"/>
      <c r="C35" s="87"/>
      <c r="D35" s="87"/>
      <c r="E35" s="87"/>
      <c r="F35" s="87"/>
      <c r="G35" s="87"/>
      <c r="H35" s="432" t="s">
        <v>246</v>
      </c>
      <c r="I35" s="432">
        <v>5.3741999999999998E-2</v>
      </c>
    </row>
    <row r="36" spans="1:9" x14ac:dyDescent="0.2">
      <c r="A36" s="87" t="s">
        <v>433</v>
      </c>
      <c r="B36" s="87"/>
      <c r="C36" s="87"/>
      <c r="D36" s="87"/>
      <c r="E36" s="87"/>
      <c r="F36" s="87"/>
      <c r="G36" s="87"/>
      <c r="H36" s="432">
        <v>0.10137900000000001</v>
      </c>
      <c r="I36" s="432">
        <v>0</v>
      </c>
    </row>
    <row r="38" spans="1:9" x14ac:dyDescent="0.2">
      <c r="A38" s="456" t="s">
        <v>452</v>
      </c>
    </row>
  </sheetData>
  <mergeCells count="3">
    <mergeCell ref="A1:J1"/>
    <mergeCell ref="A21:I21"/>
    <mergeCell ref="A29:I29"/>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9C6A-F57D-4087-BCAC-01F9FB5D1A67}">
  <dimension ref="A1:F26"/>
  <sheetViews>
    <sheetView workbookViewId="0">
      <selection activeCell="I6" sqref="I6"/>
    </sheetView>
  </sheetViews>
  <sheetFormatPr defaultRowHeight="12.75" x14ac:dyDescent="0.2"/>
  <cols>
    <col min="2" max="2" width="8.85546875" bestFit="1" customWidth="1"/>
    <col min="3" max="3" width="19.85546875" customWidth="1"/>
    <col min="4" max="4" width="31" bestFit="1" customWidth="1"/>
  </cols>
  <sheetData>
    <row r="1" spans="1:6" ht="18" x14ac:dyDescent="0.25">
      <c r="A1" s="442" t="s">
        <v>438</v>
      </c>
      <c r="B1" s="433"/>
      <c r="C1" s="433"/>
    </row>
    <row r="2" spans="1:6" ht="15" x14ac:dyDescent="0.25">
      <c r="A2" s="438"/>
      <c r="B2" s="438"/>
      <c r="C2" s="433"/>
    </row>
    <row r="3" spans="1:6" ht="51" x14ac:dyDescent="0.2">
      <c r="A3" s="443" t="s">
        <v>89</v>
      </c>
      <c r="B3" s="443" t="s">
        <v>439</v>
      </c>
      <c r="C3" s="447" t="s">
        <v>440</v>
      </c>
      <c r="D3" s="87" t="s">
        <v>451</v>
      </c>
    </row>
    <row r="4" spans="1:6" x14ac:dyDescent="0.2">
      <c r="A4" s="440">
        <v>2010</v>
      </c>
      <c r="B4" s="439">
        <v>8528.7810429272431</v>
      </c>
      <c r="C4" s="446">
        <v>0.56999999999999995</v>
      </c>
      <c r="D4" s="361">
        <f>SUM(B$4:B4)</f>
        <v>8528.7810429272431</v>
      </c>
    </row>
    <row r="5" spans="1:6" x14ac:dyDescent="0.2">
      <c r="A5" s="440">
        <v>2011</v>
      </c>
      <c r="B5" s="439">
        <v>8628.6230878479964</v>
      </c>
      <c r="C5" s="446">
        <v>0.56000000000000005</v>
      </c>
      <c r="D5" s="361">
        <f>SUM(B$4:B5)</f>
        <v>17157.404130775241</v>
      </c>
      <c r="F5" s="454"/>
    </row>
    <row r="6" spans="1:6" x14ac:dyDescent="0.2">
      <c r="A6" s="440">
        <v>2012</v>
      </c>
      <c r="B6" s="439">
        <v>8801.9190474258448</v>
      </c>
      <c r="C6" s="446">
        <v>0.56999999999999995</v>
      </c>
      <c r="D6" s="361">
        <f>SUM(B$4:B6)</f>
        <v>25959.323178201084</v>
      </c>
    </row>
    <row r="7" spans="1:6" x14ac:dyDescent="0.2">
      <c r="A7" s="441">
        <v>2013</v>
      </c>
      <c r="B7" s="439">
        <v>11406.860450010212</v>
      </c>
      <c r="C7" s="446">
        <v>0.7</v>
      </c>
      <c r="D7" s="361">
        <f>SUM(B$4:B7)</f>
        <v>37366.183628211293</v>
      </c>
    </row>
    <row r="8" spans="1:6" x14ac:dyDescent="0.2">
      <c r="A8" s="441">
        <v>2014</v>
      </c>
      <c r="B8" s="439">
        <v>11700.471985525361</v>
      </c>
      <c r="C8" s="446">
        <v>0.7</v>
      </c>
      <c r="D8" s="361">
        <f>SUM(B$4:B8)</f>
        <v>49066.655613736657</v>
      </c>
    </row>
    <row r="9" spans="1:6" ht="14.25" x14ac:dyDescent="0.2">
      <c r="A9" s="441" t="s">
        <v>441</v>
      </c>
      <c r="B9" s="439">
        <v>12135.596438341629</v>
      </c>
      <c r="C9" s="446">
        <v>0.7</v>
      </c>
      <c r="D9" s="361">
        <f>SUM(B$4:B9)</f>
        <v>61202.252052078285</v>
      </c>
    </row>
    <row r="10" spans="1:6" ht="14.25" x14ac:dyDescent="0.2">
      <c r="A10" s="441" t="s">
        <v>442</v>
      </c>
      <c r="B10" s="439">
        <v>13377.131388476799</v>
      </c>
      <c r="C10" s="446">
        <v>0.70011385248173963</v>
      </c>
      <c r="D10" s="361">
        <f>SUM(B$4:B10)</f>
        <v>74579.383440555088</v>
      </c>
    </row>
    <row r="11" spans="1:6" s="266" customFormat="1" ht="15" x14ac:dyDescent="0.25">
      <c r="A11" s="441">
        <v>2017</v>
      </c>
      <c r="B11" s="451">
        <v>13932.538125822532</v>
      </c>
      <c r="C11" s="467">
        <v>6.9511225668381299E-3</v>
      </c>
      <c r="D11" s="361">
        <f>SUM(B$4:B11)</f>
        <v>88511.921566377627</v>
      </c>
      <c r="E11" s="433" t="s">
        <v>447</v>
      </c>
    </row>
    <row r="12" spans="1:6" s="266" customFormat="1" ht="15" x14ac:dyDescent="0.25">
      <c r="A12" s="441">
        <v>2018</v>
      </c>
      <c r="B12" s="451">
        <f>2091074*0.007</f>
        <v>14637.518</v>
      </c>
      <c r="C12" s="467">
        <v>7.0000000000000001E-3</v>
      </c>
      <c r="D12" s="361">
        <f>SUM(B$4:B12)</f>
        <v>103149.43956637762</v>
      </c>
      <c r="E12" s="449" t="s">
        <v>448</v>
      </c>
    </row>
    <row r="13" spans="1:6" ht="15" x14ac:dyDescent="0.25">
      <c r="A13" s="434" t="s">
        <v>443</v>
      </c>
      <c r="B13" s="433"/>
      <c r="C13" s="433"/>
      <c r="D13" s="433"/>
    </row>
    <row r="14" spans="1:6" ht="15" x14ac:dyDescent="0.25">
      <c r="A14" s="434" t="s">
        <v>444</v>
      </c>
      <c r="B14" s="433"/>
      <c r="C14" s="433"/>
      <c r="D14" s="433"/>
    </row>
    <row r="15" spans="1:6" ht="15" x14ac:dyDescent="0.25">
      <c r="A15" s="448" t="s">
        <v>445</v>
      </c>
      <c r="B15" s="433"/>
      <c r="C15" s="433"/>
      <c r="D15" s="433"/>
    </row>
    <row r="16" spans="1:6" ht="15" x14ac:dyDescent="0.25">
      <c r="A16" s="448"/>
      <c r="B16" s="433"/>
      <c r="C16" s="433"/>
      <c r="D16" s="433"/>
    </row>
    <row r="17" spans="1:4" ht="15" x14ac:dyDescent="0.25">
      <c r="A17" s="448"/>
      <c r="B17" s="433"/>
      <c r="C17" s="433"/>
      <c r="D17" s="433"/>
    </row>
    <row r="18" spans="1:4" ht="15" x14ac:dyDescent="0.25">
      <c r="A18" s="433"/>
      <c r="B18" s="433"/>
      <c r="C18" s="433"/>
      <c r="D18" s="435" t="s">
        <v>416</v>
      </c>
    </row>
    <row r="19" spans="1:4" ht="15" x14ac:dyDescent="0.25">
      <c r="A19" s="433"/>
      <c r="B19" s="433"/>
      <c r="C19" s="433"/>
      <c r="D19" s="436" t="s">
        <v>446</v>
      </c>
    </row>
    <row r="20" spans="1:4" ht="15" x14ac:dyDescent="0.25">
      <c r="A20" s="433"/>
      <c r="B20" s="433"/>
      <c r="C20" s="433"/>
      <c r="D20" s="437" t="s">
        <v>418</v>
      </c>
    </row>
    <row r="23" spans="1:4" ht="15" x14ac:dyDescent="0.25">
      <c r="A23" s="444" t="s">
        <v>234</v>
      </c>
      <c r="B23" s="433"/>
      <c r="C23" s="433"/>
      <c r="D23" s="433"/>
    </row>
    <row r="24" spans="1:4" ht="15" x14ac:dyDescent="0.25">
      <c r="A24" s="445" t="s">
        <v>235</v>
      </c>
      <c r="B24" s="433"/>
      <c r="C24" s="433"/>
      <c r="D24" s="433"/>
    </row>
    <row r="25" spans="1:4" ht="15" x14ac:dyDescent="0.25">
      <c r="A25" s="445"/>
      <c r="B25" s="433"/>
      <c r="C25" s="433"/>
      <c r="D25" s="433"/>
    </row>
    <row r="26" spans="1:4" ht="15" x14ac:dyDescent="0.25">
      <c r="A26" s="444" t="s">
        <v>236</v>
      </c>
      <c r="B26" s="433"/>
      <c r="C26" s="433"/>
      <c r="D26" s="433"/>
    </row>
  </sheetData>
  <hyperlinks>
    <hyperlink ref="A15" r:id="rId1" xr:uid="{00000000-0004-0000-0C00-000000000000}"/>
    <hyperlink ref="A24" r:id="rId2" xr:uid="{00000000-0004-0000-0C00-000001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84378-570F-4AF0-BF95-633C721FF95F}">
  <dimension ref="A1:AI25"/>
  <sheetViews>
    <sheetView workbookViewId="0">
      <selection activeCell="A10" sqref="A10"/>
    </sheetView>
  </sheetViews>
  <sheetFormatPr defaultColWidth="9.140625" defaultRowHeight="12.75" x14ac:dyDescent="0.2"/>
  <cols>
    <col min="1" max="1" width="62.28515625" style="319" customWidth="1"/>
    <col min="2" max="3" width="9.140625" style="319"/>
    <col min="4" max="4" width="4.85546875" style="319" customWidth="1"/>
    <col min="5" max="6" width="9.140625" style="319"/>
    <col min="7" max="7" width="4.85546875" style="319" customWidth="1"/>
    <col min="8" max="16384" width="9.140625" style="319"/>
  </cols>
  <sheetData>
    <row r="1" spans="1:35" s="285" customFormat="1" ht="23.25" x14ac:dyDescent="0.25">
      <c r="A1" s="291" t="s">
        <v>412</v>
      </c>
      <c r="B1" s="291"/>
      <c r="C1" s="291"/>
      <c r="D1" s="291"/>
      <c r="E1" s="291"/>
      <c r="F1" s="291"/>
      <c r="G1" s="291"/>
      <c r="H1" s="292"/>
      <c r="I1" s="292"/>
      <c r="K1" s="321" t="s">
        <v>412</v>
      </c>
      <c r="L1" s="321"/>
      <c r="M1" s="321"/>
      <c r="N1" s="321"/>
      <c r="O1" s="321"/>
      <c r="P1" s="321"/>
      <c r="Q1" s="321"/>
      <c r="R1" s="322"/>
      <c r="S1" s="322"/>
      <c r="T1" s="320"/>
      <c r="U1" s="368" t="s">
        <v>422</v>
      </c>
      <c r="V1" s="379"/>
      <c r="W1" s="379"/>
      <c r="X1" s="379"/>
      <c r="Y1" s="379"/>
      <c r="Z1" s="379"/>
      <c r="AA1" s="379"/>
      <c r="AB1" s="379"/>
      <c r="AC1" s="379"/>
      <c r="AD1" s="379"/>
      <c r="AE1" s="379"/>
      <c r="AF1" s="379"/>
      <c r="AG1" s="379"/>
      <c r="AH1" s="379"/>
      <c r="AI1" s="365"/>
    </row>
    <row r="2" spans="1:35" s="285" customFormat="1" ht="15.75" x14ac:dyDescent="0.25">
      <c r="A2" s="293"/>
      <c r="B2" s="293"/>
      <c r="C2" s="293"/>
      <c r="D2" s="294"/>
      <c r="E2" s="295"/>
      <c r="F2" s="295"/>
      <c r="G2" s="294"/>
      <c r="H2" s="295"/>
      <c r="I2" s="295"/>
      <c r="K2" s="323" t="s">
        <v>419</v>
      </c>
      <c r="L2" s="324"/>
      <c r="M2" s="324"/>
      <c r="N2" s="325"/>
      <c r="O2" s="325"/>
      <c r="P2" s="325"/>
      <c r="Q2" s="325"/>
      <c r="R2" s="325"/>
      <c r="S2" s="325"/>
      <c r="T2" s="320"/>
      <c r="U2" s="366"/>
      <c r="V2" s="379"/>
      <c r="W2" s="379"/>
      <c r="X2" s="379"/>
      <c r="Y2" s="379"/>
      <c r="Z2" s="379"/>
      <c r="AA2" s="379"/>
      <c r="AB2" s="379"/>
      <c r="AC2" s="379"/>
      <c r="AD2" s="379"/>
      <c r="AE2" s="379"/>
      <c r="AF2" s="379"/>
      <c r="AG2" s="379"/>
      <c r="AH2" s="379"/>
      <c r="AI2" s="379" t="s">
        <v>423</v>
      </c>
    </row>
    <row r="3" spans="1:35" s="285" customFormat="1" ht="15" x14ac:dyDescent="0.25">
      <c r="A3" s="296"/>
      <c r="B3" s="491">
        <v>2012</v>
      </c>
      <c r="C3" s="491"/>
      <c r="D3" s="296"/>
      <c r="E3" s="491">
        <v>2015</v>
      </c>
      <c r="F3" s="491"/>
      <c r="G3" s="296"/>
      <c r="H3" s="491">
        <v>2016</v>
      </c>
      <c r="I3" s="491"/>
      <c r="K3" s="326"/>
      <c r="L3" s="360">
        <v>2013</v>
      </c>
      <c r="M3" s="360"/>
      <c r="N3" s="326"/>
      <c r="O3" s="360">
        <v>2016</v>
      </c>
      <c r="P3" s="360"/>
      <c r="Q3" s="326"/>
      <c r="R3" s="360">
        <v>2017</v>
      </c>
      <c r="S3" s="360"/>
      <c r="T3" s="320"/>
      <c r="U3" s="367"/>
      <c r="V3" s="493">
        <v>2012</v>
      </c>
      <c r="W3" s="493"/>
      <c r="X3" s="380"/>
      <c r="Y3" s="493">
        <v>2013</v>
      </c>
      <c r="Z3" s="493"/>
      <c r="AA3" s="380"/>
      <c r="AB3" s="493">
        <v>2014</v>
      </c>
      <c r="AC3" s="493"/>
      <c r="AD3" s="380"/>
      <c r="AE3" s="492" t="s">
        <v>424</v>
      </c>
      <c r="AF3" s="492"/>
      <c r="AG3" s="367"/>
      <c r="AH3" s="492" t="s">
        <v>425</v>
      </c>
      <c r="AI3" s="492"/>
    </row>
    <row r="4" spans="1:35" s="285" customFormat="1" ht="51.75" thickBot="1" x14ac:dyDescent="0.3">
      <c r="A4" s="297"/>
      <c r="B4" s="298" t="s">
        <v>212</v>
      </c>
      <c r="C4" s="299" t="s">
        <v>413</v>
      </c>
      <c r="D4" s="297"/>
      <c r="E4" s="298" t="s">
        <v>212</v>
      </c>
      <c r="F4" s="299" t="s">
        <v>413</v>
      </c>
      <c r="G4" s="297"/>
      <c r="H4" s="298" t="s">
        <v>212</v>
      </c>
      <c r="I4" s="299" t="s">
        <v>413</v>
      </c>
      <c r="K4" s="327"/>
      <c r="L4" s="328" t="s">
        <v>212</v>
      </c>
      <c r="M4" s="329" t="s">
        <v>413</v>
      </c>
      <c r="N4" s="327"/>
      <c r="O4" s="328" t="s">
        <v>212</v>
      </c>
      <c r="P4" s="329" t="s">
        <v>413</v>
      </c>
      <c r="Q4" s="327"/>
      <c r="R4" s="328" t="s">
        <v>212</v>
      </c>
      <c r="S4" s="329" t="s">
        <v>413</v>
      </c>
      <c r="T4" s="320"/>
      <c r="U4" s="381"/>
      <c r="V4" s="382" t="s">
        <v>212</v>
      </c>
      <c r="W4" s="383" t="s">
        <v>426</v>
      </c>
      <c r="X4" s="382"/>
      <c r="Y4" s="382" t="s">
        <v>212</v>
      </c>
      <c r="Z4" s="383" t="s">
        <v>426</v>
      </c>
      <c r="AA4" s="382"/>
      <c r="AB4" s="382" t="s">
        <v>212</v>
      </c>
      <c r="AC4" s="383" t="s">
        <v>426</v>
      </c>
      <c r="AD4" s="382"/>
      <c r="AE4" s="382" t="s">
        <v>212</v>
      </c>
      <c r="AF4" s="363" t="s">
        <v>427</v>
      </c>
      <c r="AG4" s="384"/>
      <c r="AH4" s="362" t="s">
        <v>212</v>
      </c>
      <c r="AI4" s="363" t="s">
        <v>427</v>
      </c>
    </row>
    <row r="5" spans="1:35" s="285" customFormat="1" ht="15" x14ac:dyDescent="0.25">
      <c r="A5" s="294"/>
      <c r="B5" s="294"/>
      <c r="C5" s="294"/>
      <c r="D5" s="294"/>
      <c r="E5" s="294"/>
      <c r="F5" s="294"/>
      <c r="G5" s="294"/>
      <c r="H5" s="300"/>
      <c r="I5" s="301"/>
      <c r="K5" s="325"/>
      <c r="L5" s="325"/>
      <c r="M5" s="325"/>
      <c r="N5" s="325"/>
      <c r="O5" s="330"/>
      <c r="P5" s="331"/>
      <c r="Q5" s="325"/>
      <c r="R5" s="330"/>
      <c r="S5" s="331"/>
      <c r="T5" s="320"/>
      <c r="U5" s="385"/>
      <c r="V5" s="385"/>
      <c r="W5" s="385"/>
      <c r="X5" s="385"/>
      <c r="Y5" s="385"/>
      <c r="Z5" s="385"/>
      <c r="AA5" s="385"/>
      <c r="AB5" s="385"/>
      <c r="AC5" s="385"/>
      <c r="AD5" s="385"/>
      <c r="AE5" s="378"/>
      <c r="AF5" s="370"/>
      <c r="AG5" s="378"/>
      <c r="AH5" s="369"/>
      <c r="AI5" s="370"/>
    </row>
    <row r="6" spans="1:35" s="285" customFormat="1" ht="15" x14ac:dyDescent="0.25">
      <c r="A6" s="287" t="s">
        <v>411</v>
      </c>
      <c r="B6" s="287">
        <v>187.39722320239989</v>
      </c>
      <c r="C6" s="288">
        <v>1</v>
      </c>
      <c r="D6" s="287"/>
      <c r="E6" s="289">
        <v>324.14243565299984</v>
      </c>
      <c r="F6" s="288">
        <v>1</v>
      </c>
      <c r="G6" s="287"/>
      <c r="H6" s="290">
        <v>600.92366367237014</v>
      </c>
      <c r="I6" s="288">
        <v>1</v>
      </c>
      <c r="K6" s="332" t="s">
        <v>411</v>
      </c>
      <c r="L6" s="333">
        <v>198.04574191070014</v>
      </c>
      <c r="M6" s="334">
        <v>1</v>
      </c>
      <c r="N6" s="332"/>
      <c r="O6" s="333">
        <v>600.92366367237014</v>
      </c>
      <c r="P6" s="334">
        <v>1</v>
      </c>
      <c r="Q6" s="332"/>
      <c r="R6" s="333">
        <v>554.60003774929953</v>
      </c>
      <c r="S6" s="334">
        <v>1</v>
      </c>
      <c r="T6" s="320"/>
      <c r="U6" s="378" t="s">
        <v>409</v>
      </c>
      <c r="V6" s="374">
        <v>176.0026510523999</v>
      </c>
      <c r="W6" s="371">
        <v>0.93793097205805653</v>
      </c>
      <c r="X6" s="386"/>
      <c r="Y6" s="374">
        <v>182.69240204070007</v>
      </c>
      <c r="Z6" s="371">
        <v>0.92247578906835126</v>
      </c>
      <c r="AA6" s="386"/>
      <c r="AB6" s="374">
        <v>149.21167172699992</v>
      </c>
      <c r="AC6" s="371">
        <v>0.82835644628925187</v>
      </c>
      <c r="AD6" s="378"/>
      <c r="AE6" s="376">
        <v>-26.790979325399974</v>
      </c>
      <c r="AF6" s="364">
        <v>-0.15221918059304518</v>
      </c>
      <c r="AG6" s="378"/>
      <c r="AH6" s="376">
        <v>-33.48073031370015</v>
      </c>
      <c r="AI6" s="364">
        <v>-0.18326285023195074</v>
      </c>
    </row>
    <row r="7" spans="1:35" s="285" customFormat="1" ht="15" x14ac:dyDescent="0.25">
      <c r="A7" s="302" t="s">
        <v>97</v>
      </c>
      <c r="B7" s="302"/>
      <c r="C7" s="302"/>
      <c r="D7" s="302"/>
      <c r="E7" s="302"/>
      <c r="F7" s="302"/>
      <c r="G7" s="302"/>
      <c r="H7" s="290"/>
      <c r="I7" s="303"/>
      <c r="K7" s="336" t="s">
        <v>97</v>
      </c>
      <c r="L7" s="337"/>
      <c r="M7" s="336"/>
      <c r="N7" s="336"/>
      <c r="O7" s="333"/>
      <c r="P7" s="338"/>
      <c r="Q7" s="336"/>
      <c r="R7" s="333"/>
      <c r="S7" s="338"/>
      <c r="T7" s="335"/>
      <c r="U7" s="373" t="s">
        <v>213</v>
      </c>
      <c r="V7" s="374">
        <v>11.394572149999998</v>
      </c>
      <c r="W7" s="371">
        <v>6.0722506558456922E-2</v>
      </c>
      <c r="X7" s="375"/>
      <c r="Y7" s="374">
        <v>13.853147369999995</v>
      </c>
      <c r="Z7" s="371">
        <v>6.9949231103622805E-2</v>
      </c>
      <c r="AA7" s="375"/>
      <c r="AB7" s="374">
        <v>29.379491749999996</v>
      </c>
      <c r="AC7" s="371">
        <v>0.16310179423725776</v>
      </c>
      <c r="AD7" s="373"/>
      <c r="AE7" s="376">
        <v>17.984919599999998</v>
      </c>
      <c r="AF7" s="364">
        <v>1.5783760340663604</v>
      </c>
      <c r="AG7" s="377"/>
      <c r="AH7" s="376">
        <v>15.526344380000001</v>
      </c>
      <c r="AI7" s="364">
        <v>1.1207810012635422</v>
      </c>
    </row>
    <row r="8" spans="1:35" s="285" customFormat="1" ht="15" x14ac:dyDescent="0.25">
      <c r="A8" s="279" t="s">
        <v>409</v>
      </c>
      <c r="B8" s="281">
        <v>176.0026510523999</v>
      </c>
      <c r="C8" s="282">
        <v>0.93919561904237403</v>
      </c>
      <c r="D8" s="279"/>
      <c r="E8" s="283">
        <v>240.19879972499999</v>
      </c>
      <c r="F8" s="284">
        <v>0.74102855197317286</v>
      </c>
      <c r="G8" s="279"/>
      <c r="H8" s="281">
        <v>431.05830401866325</v>
      </c>
      <c r="I8" s="284">
        <v>0.71732622640349331</v>
      </c>
      <c r="K8" s="339" t="s">
        <v>409</v>
      </c>
      <c r="L8" s="340">
        <v>182.69240204070016</v>
      </c>
      <c r="M8" s="341">
        <v>0.92247578906835126</v>
      </c>
      <c r="N8" s="339"/>
      <c r="O8" s="340">
        <v>431.05830401866325</v>
      </c>
      <c r="P8" s="341">
        <v>0.71732622640349331</v>
      </c>
      <c r="Q8" s="339"/>
      <c r="R8" s="340">
        <v>385.89465967919966</v>
      </c>
      <c r="S8" s="341">
        <v>0.69580712840419756</v>
      </c>
      <c r="T8" s="320"/>
      <c r="U8" s="387" t="s">
        <v>121</v>
      </c>
      <c r="V8" s="374">
        <v>0.25267459999999997</v>
      </c>
      <c r="W8" s="371">
        <v>1.3465213834865646E-3</v>
      </c>
      <c r="X8" s="375"/>
      <c r="Y8" s="374">
        <v>1.5001925000000003</v>
      </c>
      <c r="Z8" s="371">
        <v>7.5749798280260201E-3</v>
      </c>
      <c r="AA8" s="375"/>
      <c r="AB8" s="374">
        <v>1.5386253300000003</v>
      </c>
      <c r="AC8" s="371">
        <v>8.5417594734903089E-3</v>
      </c>
      <c r="AD8" s="387"/>
      <c r="AE8" s="376">
        <v>1.2859507300000004</v>
      </c>
      <c r="AF8" s="364">
        <v>5.0893549648441141</v>
      </c>
      <c r="AG8" s="377"/>
      <c r="AH8" s="376">
        <v>3.8432830000000084E-2</v>
      </c>
      <c r="AI8" s="364">
        <v>2.5618598946468587E-2</v>
      </c>
    </row>
    <row r="9" spans="1:35" s="285" customFormat="1" ht="15" x14ac:dyDescent="0.25">
      <c r="A9" s="279" t="s">
        <v>213</v>
      </c>
      <c r="B9" s="281">
        <v>11.394572149999998</v>
      </c>
      <c r="C9" s="282">
        <v>6.0804380957626032E-2</v>
      </c>
      <c r="D9" s="279"/>
      <c r="E9" s="283">
        <v>68.680548975000022</v>
      </c>
      <c r="F9" s="284">
        <v>0.21188385543114679</v>
      </c>
      <c r="G9" s="279"/>
      <c r="H9" s="281">
        <v>121.54627232999999</v>
      </c>
      <c r="I9" s="284">
        <v>0.2022657446824532</v>
      </c>
      <c r="K9" s="339" t="s">
        <v>213</v>
      </c>
      <c r="L9" s="340">
        <v>13.85314737</v>
      </c>
      <c r="M9" s="341">
        <v>6.9949231103622805E-2</v>
      </c>
      <c r="N9" s="339"/>
      <c r="O9" s="340">
        <v>121.54627232999999</v>
      </c>
      <c r="P9" s="341">
        <v>0.2022657446824532</v>
      </c>
      <c r="Q9" s="339"/>
      <c r="R9" s="340">
        <v>112.63575505999997</v>
      </c>
      <c r="S9" s="341">
        <v>0.20309366641427393</v>
      </c>
      <c r="T9" s="320"/>
      <c r="U9" s="388"/>
      <c r="V9" s="389"/>
      <c r="W9" s="390"/>
      <c r="X9" s="386"/>
      <c r="Y9" s="389"/>
      <c r="Z9" s="371"/>
      <c r="AA9" s="386"/>
      <c r="AB9" s="389"/>
      <c r="AC9" s="390"/>
      <c r="AD9" s="378"/>
      <c r="AE9" s="376"/>
      <c r="AF9" s="364"/>
      <c r="AG9" s="377"/>
      <c r="AH9" s="376"/>
      <c r="AI9" s="364"/>
    </row>
    <row r="10" spans="1:35" s="285" customFormat="1" ht="15.75" thickBot="1" x14ac:dyDescent="0.3">
      <c r="A10" s="280" t="s">
        <v>83</v>
      </c>
      <c r="B10" s="286" t="s">
        <v>410</v>
      </c>
      <c r="C10" s="286" t="s">
        <v>410</v>
      </c>
      <c r="D10" s="280"/>
      <c r="E10" s="283">
        <v>9.2588282330000009</v>
      </c>
      <c r="F10" s="284">
        <v>2.8564073119114027E-2</v>
      </c>
      <c r="G10" s="280"/>
      <c r="H10" s="281">
        <v>15.784435769999998</v>
      </c>
      <c r="I10" s="284">
        <v>2.6266956560735206E-2</v>
      </c>
      <c r="K10" s="342" t="s">
        <v>83</v>
      </c>
      <c r="L10" s="340" t="s">
        <v>246</v>
      </c>
      <c r="M10" s="343" t="s">
        <v>246</v>
      </c>
      <c r="N10" s="342"/>
      <c r="O10" s="340">
        <v>15.784435769999998</v>
      </c>
      <c r="P10" s="341">
        <v>2.6266956560735206E-2</v>
      </c>
      <c r="Q10" s="342"/>
      <c r="R10" s="340">
        <v>19.362851189999898</v>
      </c>
      <c r="S10" s="341">
        <v>3.4913180440050109E-2</v>
      </c>
      <c r="T10" s="320"/>
      <c r="U10" s="391" t="s">
        <v>428</v>
      </c>
      <c r="V10" s="392">
        <v>187.64989780239989</v>
      </c>
      <c r="W10" s="393">
        <v>1</v>
      </c>
      <c r="X10" s="392"/>
      <c r="Y10" s="392">
        <v>198.04574191070006</v>
      </c>
      <c r="Z10" s="393">
        <v>1.0000000000000002</v>
      </c>
      <c r="AA10" s="392"/>
      <c r="AB10" s="392">
        <v>180.12978880699993</v>
      </c>
      <c r="AC10" s="393">
        <v>1</v>
      </c>
      <c r="AD10" s="391"/>
      <c r="AE10" s="394">
        <v>-7.5201089953999753</v>
      </c>
      <c r="AF10" s="372">
        <v>-4.0075209650893819E-2</v>
      </c>
      <c r="AG10" s="395"/>
      <c r="AH10" s="394">
        <v>-17.915953103700147</v>
      </c>
      <c r="AI10" s="372">
        <v>-9.0463712730458765E-2</v>
      </c>
    </row>
    <row r="11" spans="1:35" s="285" customFormat="1" ht="15" x14ac:dyDescent="0.25">
      <c r="A11" s="280" t="s">
        <v>121</v>
      </c>
      <c r="B11" s="281">
        <v>0</v>
      </c>
      <c r="C11" s="282">
        <v>0</v>
      </c>
      <c r="D11" s="280"/>
      <c r="E11" s="283">
        <v>4.3736839700000001</v>
      </c>
      <c r="F11" s="284">
        <v>1.3493092816400336E-2</v>
      </c>
      <c r="G11" s="280"/>
      <c r="H11" s="281">
        <v>13.632157945307041</v>
      </c>
      <c r="I11" s="284">
        <v>2.2685340533934166E-2</v>
      </c>
      <c r="K11" s="342" t="s">
        <v>121</v>
      </c>
      <c r="L11" s="340">
        <v>1.5001924999999998</v>
      </c>
      <c r="M11" s="341">
        <v>7.5749798280260149E-3</v>
      </c>
      <c r="N11" s="342"/>
      <c r="O11" s="340">
        <v>13.632157945307041</v>
      </c>
      <c r="P11" s="341">
        <v>2.2685340533934166E-2</v>
      </c>
      <c r="Q11" s="342"/>
      <c r="R11" s="340">
        <v>13.059055820100001</v>
      </c>
      <c r="S11" s="341">
        <v>2.3546799371123004E-2</v>
      </c>
      <c r="T11" s="320"/>
    </row>
    <row r="12" spans="1:35" s="285" customFormat="1" ht="15" x14ac:dyDescent="0.25">
      <c r="A12" s="280" t="s">
        <v>13</v>
      </c>
      <c r="B12" s="286" t="s">
        <v>410</v>
      </c>
      <c r="C12" s="286" t="s">
        <v>410</v>
      </c>
      <c r="D12" s="280"/>
      <c r="E12" s="283">
        <v>0.65096774999999996</v>
      </c>
      <c r="F12" s="284">
        <v>2.0082768511583359E-3</v>
      </c>
      <c r="G12" s="280"/>
      <c r="H12" s="281">
        <v>16.9684976084</v>
      </c>
      <c r="I12" s="284">
        <v>2.8237359641825326E-2</v>
      </c>
      <c r="K12" s="342" t="s">
        <v>13</v>
      </c>
      <c r="L12" s="340" t="s">
        <v>246</v>
      </c>
      <c r="M12" s="343" t="s">
        <v>246</v>
      </c>
      <c r="N12" s="342"/>
      <c r="O12" s="340">
        <v>16.9684976084</v>
      </c>
      <c r="P12" s="341">
        <v>2.8237359641825326E-2</v>
      </c>
      <c r="Q12" s="342"/>
      <c r="R12" s="340">
        <v>18.883723000000003</v>
      </c>
      <c r="S12" s="341">
        <v>3.4049263820166147E-2</v>
      </c>
      <c r="T12" s="320"/>
    </row>
    <row r="13" spans="1:35" s="285" customFormat="1" ht="15" x14ac:dyDescent="0.25">
      <c r="A13" s="280" t="s">
        <v>414</v>
      </c>
      <c r="B13" s="304" t="s">
        <v>410</v>
      </c>
      <c r="C13" s="286" t="s">
        <v>410</v>
      </c>
      <c r="D13" s="280"/>
      <c r="E13" s="283">
        <v>0.97960699999999989</v>
      </c>
      <c r="F13" s="284">
        <v>3.0221498090076868E-3</v>
      </c>
      <c r="G13" s="280"/>
      <c r="H13" s="281">
        <v>1.4927699999999999</v>
      </c>
      <c r="I13" s="284">
        <v>2.4841258386753659E-3</v>
      </c>
      <c r="K13" s="342" t="s">
        <v>113</v>
      </c>
      <c r="L13" s="340" t="s">
        <v>246</v>
      </c>
      <c r="M13" s="343" t="s">
        <v>246</v>
      </c>
      <c r="N13" s="342"/>
      <c r="O13" s="340" t="s">
        <v>246</v>
      </c>
      <c r="P13" s="344" t="s">
        <v>246</v>
      </c>
      <c r="Q13" s="342"/>
      <c r="R13" s="340">
        <v>2.2550850000000002</v>
      </c>
      <c r="S13" s="341">
        <v>4.0661464956830481E-3</v>
      </c>
      <c r="T13" s="320"/>
    </row>
    <row r="14" spans="1:35" s="285" customFormat="1" ht="15" x14ac:dyDescent="0.25">
      <c r="A14" s="280" t="s">
        <v>122</v>
      </c>
      <c r="B14" s="304" t="s">
        <v>410</v>
      </c>
      <c r="C14" s="286" t="s">
        <v>410</v>
      </c>
      <c r="D14" s="280"/>
      <c r="E14" s="304" t="s">
        <v>410</v>
      </c>
      <c r="F14" s="284">
        <v>0</v>
      </c>
      <c r="G14" s="280"/>
      <c r="H14" s="281">
        <v>0.435168</v>
      </c>
      <c r="I14" s="284">
        <v>7.2416519153297668E-4</v>
      </c>
      <c r="K14" s="342" t="s">
        <v>414</v>
      </c>
      <c r="L14" s="340" t="s">
        <v>246</v>
      </c>
      <c r="M14" s="343" t="s">
        <v>246</v>
      </c>
      <c r="N14" s="342"/>
      <c r="O14" s="340">
        <v>1.4927699999999999</v>
      </c>
      <c r="P14" s="341">
        <v>2.4841258386753659E-3</v>
      </c>
      <c r="Q14" s="342"/>
      <c r="R14" s="340">
        <v>1.9015099999999998</v>
      </c>
      <c r="S14" s="341">
        <v>3.4286149848037971E-3</v>
      </c>
      <c r="T14" s="320"/>
    </row>
    <row r="15" spans="1:35" s="285" customFormat="1" ht="15.75" thickBot="1" x14ac:dyDescent="0.3">
      <c r="A15" s="305" t="s">
        <v>415</v>
      </c>
      <c r="B15" s="306" t="s">
        <v>410</v>
      </c>
      <c r="C15" s="306" t="s">
        <v>410</v>
      </c>
      <c r="D15" s="305"/>
      <c r="E15" s="306" t="s">
        <v>410</v>
      </c>
      <c r="F15" s="307">
        <v>0</v>
      </c>
      <c r="G15" s="305"/>
      <c r="H15" s="308">
        <v>6.058E-3</v>
      </c>
      <c r="I15" s="309">
        <v>1.0081147350693923E-5</v>
      </c>
      <c r="K15" s="342" t="s">
        <v>122</v>
      </c>
      <c r="L15" s="340" t="s">
        <v>246</v>
      </c>
      <c r="M15" s="345" t="s">
        <v>246</v>
      </c>
      <c r="N15" s="342"/>
      <c r="O15" s="340">
        <v>0.435168</v>
      </c>
      <c r="P15" s="341">
        <v>7.2416519153297668E-4</v>
      </c>
      <c r="Q15" s="342"/>
      <c r="R15" s="340">
        <v>0.43691199999999997</v>
      </c>
      <c r="S15" s="341">
        <v>7.877965565474789E-4</v>
      </c>
      <c r="T15" s="320"/>
    </row>
    <row r="16" spans="1:35" s="285" customFormat="1" ht="15.75" x14ac:dyDescent="0.25">
      <c r="A16" s="310" t="s">
        <v>233</v>
      </c>
      <c r="B16" s="311"/>
      <c r="C16" s="311"/>
      <c r="D16" s="293"/>
      <c r="E16" s="293"/>
      <c r="F16" s="293"/>
      <c r="G16" s="293"/>
      <c r="H16" s="293"/>
      <c r="I16" s="312" t="s">
        <v>416</v>
      </c>
      <c r="K16" s="342" t="s">
        <v>217</v>
      </c>
      <c r="L16" s="340" t="s">
        <v>246</v>
      </c>
      <c r="M16" s="345" t="s">
        <v>246</v>
      </c>
      <c r="N16" s="342"/>
      <c r="O16" s="340" t="s">
        <v>246</v>
      </c>
      <c r="P16" s="345" t="s">
        <v>246</v>
      </c>
      <c r="Q16" s="342"/>
      <c r="R16" s="340">
        <v>0.111709</v>
      </c>
      <c r="S16" s="341">
        <v>2.014226332427636E-4</v>
      </c>
      <c r="T16" s="320"/>
    </row>
    <row r="17" spans="1:19" s="285" customFormat="1" ht="16.5" thickBot="1" x14ac:dyDescent="0.3">
      <c r="A17" s="293"/>
      <c r="B17" s="293"/>
      <c r="C17" s="293"/>
      <c r="D17" s="293"/>
      <c r="E17" s="293"/>
      <c r="F17" s="293"/>
      <c r="G17" s="293"/>
      <c r="H17" s="293"/>
      <c r="I17" s="313" t="s">
        <v>417</v>
      </c>
      <c r="K17" s="346" t="s">
        <v>415</v>
      </c>
      <c r="L17" s="347" t="s">
        <v>246</v>
      </c>
      <c r="M17" s="348" t="s">
        <v>246</v>
      </c>
      <c r="N17" s="346"/>
      <c r="O17" s="349">
        <v>0</v>
      </c>
      <c r="P17" s="348">
        <v>0</v>
      </c>
      <c r="Q17" s="346"/>
      <c r="R17" s="347">
        <v>5.8777000000000003E-2</v>
      </c>
      <c r="S17" s="350">
        <v>1.059808799121818E-4</v>
      </c>
    </row>
    <row r="18" spans="1:19" s="285" customFormat="1" ht="15.75" x14ac:dyDescent="0.25">
      <c r="A18" s="293"/>
      <c r="B18" s="293"/>
      <c r="C18" s="293"/>
      <c r="D18" s="293"/>
      <c r="E18" s="293"/>
      <c r="F18" s="293"/>
      <c r="G18" s="293"/>
      <c r="H18" s="293"/>
      <c r="I18" s="314" t="s">
        <v>418</v>
      </c>
      <c r="K18" s="351" t="s">
        <v>233</v>
      </c>
      <c r="L18" s="352"/>
      <c r="M18" s="352"/>
      <c r="N18" s="324"/>
      <c r="O18" s="324"/>
      <c r="P18" s="324"/>
      <c r="Q18" s="324"/>
      <c r="R18" s="324"/>
      <c r="S18" s="353" t="s">
        <v>416</v>
      </c>
    </row>
    <row r="19" spans="1:19" s="285" customFormat="1" ht="15.75" x14ac:dyDescent="0.25">
      <c r="A19" s="293"/>
      <c r="B19" s="293"/>
      <c r="C19" s="293"/>
      <c r="D19" s="293"/>
      <c r="E19" s="293"/>
      <c r="F19" s="293"/>
      <c r="G19" s="293"/>
      <c r="H19" s="293"/>
      <c r="I19" s="314"/>
      <c r="K19" s="324"/>
      <c r="L19" s="324"/>
      <c r="M19" s="324"/>
      <c r="N19" s="324"/>
      <c r="O19" s="324"/>
      <c r="P19" s="324"/>
      <c r="Q19" s="324"/>
      <c r="R19" s="324"/>
      <c r="S19" s="354" t="s">
        <v>420</v>
      </c>
    </row>
    <row r="20" spans="1:19" s="285" customFormat="1" ht="15.75" x14ac:dyDescent="0.25">
      <c r="A20" s="315" t="s">
        <v>234</v>
      </c>
      <c r="B20" s="316"/>
      <c r="C20" s="316"/>
      <c r="D20" s="316"/>
      <c r="E20" s="316"/>
      <c r="F20" s="316"/>
      <c r="G20" s="316"/>
      <c r="H20" s="293"/>
      <c r="I20" s="293"/>
      <c r="K20" s="355" t="s">
        <v>234</v>
      </c>
      <c r="L20" s="324"/>
      <c r="M20" s="324"/>
      <c r="N20" s="324"/>
      <c r="O20" s="324"/>
      <c r="P20" s="324"/>
      <c r="Q20" s="324"/>
      <c r="R20" s="324"/>
      <c r="S20" s="354" t="s">
        <v>421</v>
      </c>
    </row>
    <row r="21" spans="1:19" s="285" customFormat="1" ht="15.75" x14ac:dyDescent="0.25">
      <c r="A21" s="317" t="s">
        <v>235</v>
      </c>
      <c r="B21" s="318"/>
      <c r="C21" s="318"/>
      <c r="D21" s="318"/>
      <c r="E21" s="318"/>
      <c r="F21" s="318"/>
      <c r="G21" s="318"/>
      <c r="H21" s="293"/>
      <c r="I21" s="293"/>
      <c r="K21" s="356" t="s">
        <v>235</v>
      </c>
      <c r="L21" s="324"/>
      <c r="M21" s="324"/>
      <c r="N21" s="324"/>
      <c r="O21" s="324"/>
      <c r="P21" s="324"/>
      <c r="Q21" s="324"/>
      <c r="R21" s="324"/>
      <c r="S21" s="357"/>
    </row>
    <row r="22" spans="1:19" s="285" customFormat="1" ht="15.75" x14ac:dyDescent="0.25">
      <c r="A22" s="317"/>
      <c r="B22" s="316"/>
      <c r="C22" s="316"/>
      <c r="D22" s="316"/>
      <c r="E22" s="316"/>
      <c r="F22" s="316"/>
      <c r="G22" s="316"/>
      <c r="H22" s="293"/>
      <c r="I22" s="293"/>
      <c r="K22" s="356"/>
      <c r="L22" s="358"/>
      <c r="M22" s="358"/>
      <c r="N22" s="358"/>
      <c r="O22" s="358"/>
      <c r="P22" s="358"/>
      <c r="Q22" s="358"/>
      <c r="R22" s="324"/>
      <c r="S22" s="324"/>
    </row>
    <row r="23" spans="1:19" ht="15.75" x14ac:dyDescent="0.25">
      <c r="A23" s="315" t="s">
        <v>236</v>
      </c>
      <c r="K23" s="355" t="s">
        <v>236</v>
      </c>
      <c r="L23" s="359"/>
      <c r="M23" s="359"/>
      <c r="N23" s="359"/>
      <c r="O23" s="359"/>
      <c r="P23" s="359"/>
      <c r="Q23" s="359"/>
      <c r="R23" s="324"/>
      <c r="S23" s="324"/>
    </row>
    <row r="25" spans="1:19" ht="15.75" x14ac:dyDescent="0.25">
      <c r="K25" s="320"/>
      <c r="L25" s="358"/>
      <c r="M25" s="358"/>
      <c r="N25" s="358"/>
      <c r="O25" s="358"/>
      <c r="P25" s="358"/>
      <c r="Q25" s="358"/>
      <c r="R25" s="324"/>
      <c r="S25" s="324"/>
    </row>
  </sheetData>
  <mergeCells count="8">
    <mergeCell ref="B3:C3"/>
    <mergeCell ref="E3:F3"/>
    <mergeCell ref="H3:I3"/>
    <mergeCell ref="AH3:AI3"/>
    <mergeCell ref="V3:W3"/>
    <mergeCell ref="Y3:Z3"/>
    <mergeCell ref="AB3:AC3"/>
    <mergeCell ref="AE3:AF3"/>
  </mergeCells>
  <hyperlinks>
    <hyperlink ref="A21" r:id="rId1" xr:uid="{5B558F13-27F5-43DA-A007-011A8DA25BAC}"/>
    <hyperlink ref="K21" r:id="rId2" xr:uid="{00000000-0004-0000-15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5523-2AB9-4EC9-BB80-85CC31F57D79}">
  <dimension ref="A1:F18"/>
  <sheetViews>
    <sheetView workbookViewId="0">
      <selection activeCell="N16" sqref="N16"/>
    </sheetView>
  </sheetViews>
  <sheetFormatPr defaultRowHeight="12.75" x14ac:dyDescent="0.2"/>
  <sheetData>
    <row r="1" spans="1:6" ht="20.25" x14ac:dyDescent="0.25">
      <c r="A1" s="397" t="s">
        <v>430</v>
      </c>
      <c r="B1" s="398"/>
      <c r="C1" s="398"/>
      <c r="D1" s="396"/>
      <c r="E1" s="396"/>
      <c r="F1" s="396"/>
    </row>
    <row r="2" spans="1:6" ht="15.75" x14ac:dyDescent="0.25">
      <c r="A2" s="399"/>
      <c r="B2" s="400"/>
      <c r="C2" s="400"/>
      <c r="D2" s="401"/>
      <c r="E2" s="396"/>
      <c r="F2" s="396"/>
    </row>
    <row r="3" spans="1:6" ht="15" x14ac:dyDescent="0.25">
      <c r="A3" s="402"/>
      <c r="B3" s="494">
        <v>2016</v>
      </c>
      <c r="C3" s="494"/>
      <c r="D3" s="396"/>
      <c r="E3" s="494">
        <v>2017</v>
      </c>
      <c r="F3" s="494"/>
    </row>
    <row r="4" spans="1:6" ht="27" thickBot="1" x14ac:dyDescent="0.3">
      <c r="A4" s="403"/>
      <c r="B4" s="404" t="s">
        <v>212</v>
      </c>
      <c r="C4" s="405" t="s">
        <v>413</v>
      </c>
      <c r="D4" s="406"/>
      <c r="E4" s="404" t="s">
        <v>212</v>
      </c>
      <c r="F4" s="405" t="s">
        <v>413</v>
      </c>
    </row>
    <row r="5" spans="1:6" x14ac:dyDescent="0.2">
      <c r="A5" s="407" t="s">
        <v>431</v>
      </c>
      <c r="B5" s="408">
        <v>37.51858931999999</v>
      </c>
      <c r="C5" s="409">
        <v>0.99729789947230352</v>
      </c>
      <c r="D5" s="410"/>
      <c r="E5" s="408">
        <v>45.632546259999927</v>
      </c>
      <c r="F5" s="409">
        <v>1</v>
      </c>
    </row>
    <row r="6" spans="1:6" x14ac:dyDescent="0.2">
      <c r="A6" s="411" t="s">
        <v>97</v>
      </c>
      <c r="B6" s="412"/>
      <c r="C6" s="413"/>
      <c r="D6" s="410"/>
      <c r="E6" s="412"/>
      <c r="F6" s="413"/>
    </row>
    <row r="7" spans="1:6" x14ac:dyDescent="0.2">
      <c r="A7" s="414" t="s">
        <v>409</v>
      </c>
      <c r="B7" s="412">
        <v>34.045553659999989</v>
      </c>
      <c r="C7" s="415">
        <v>0.9074316032946198</v>
      </c>
      <c r="D7" s="410"/>
      <c r="E7" s="412">
        <v>38.465329079999933</v>
      </c>
      <c r="F7" s="415">
        <v>0.84293628632591655</v>
      </c>
    </row>
    <row r="8" spans="1:6" x14ac:dyDescent="0.2">
      <c r="A8" s="416" t="s">
        <v>432</v>
      </c>
      <c r="B8" s="412">
        <v>0.66745699999999997</v>
      </c>
      <c r="C8" s="415">
        <v>1.7790034542801945E-2</v>
      </c>
      <c r="D8" s="410"/>
      <c r="E8" s="412">
        <v>3.0427102399999999</v>
      </c>
      <c r="F8" s="415">
        <v>6.6678511049188274E-2</v>
      </c>
    </row>
    <row r="9" spans="1:6" x14ac:dyDescent="0.2">
      <c r="A9" s="414" t="s">
        <v>213</v>
      </c>
      <c r="B9" s="412">
        <v>2.4878050000000003</v>
      </c>
      <c r="C9" s="415">
        <v>6.6308596487497179E-2</v>
      </c>
      <c r="D9" s="410"/>
      <c r="E9" s="412">
        <v>2.9843175999999998</v>
      </c>
      <c r="F9" s="415">
        <v>6.5398884011343458E-2</v>
      </c>
    </row>
    <row r="10" spans="1:6" x14ac:dyDescent="0.2">
      <c r="A10" s="416" t="s">
        <v>83</v>
      </c>
      <c r="B10" s="412">
        <v>0.21639465999999999</v>
      </c>
      <c r="C10" s="415">
        <v>5.7676651473845993E-3</v>
      </c>
      <c r="D10" s="410"/>
      <c r="E10" s="412">
        <v>1.0864473399999999</v>
      </c>
      <c r="F10" s="415">
        <v>2.3808606554842762E-2</v>
      </c>
    </row>
    <row r="11" spans="1:6" x14ac:dyDescent="0.2">
      <c r="A11" s="416" t="s">
        <v>113</v>
      </c>
      <c r="B11" s="412" t="s">
        <v>246</v>
      </c>
      <c r="C11" s="417" t="s">
        <v>246</v>
      </c>
      <c r="D11" s="410"/>
      <c r="E11" s="412">
        <v>5.3741999999999998E-2</v>
      </c>
      <c r="F11" s="415">
        <v>1.1777120587090396E-3</v>
      </c>
    </row>
    <row r="12" spans="1:6" ht="13.5" thickBot="1" x14ac:dyDescent="0.25">
      <c r="A12" s="418" t="s">
        <v>433</v>
      </c>
      <c r="B12" s="419">
        <v>0.10137900000000001</v>
      </c>
      <c r="C12" s="420">
        <v>2.702100527696494E-3</v>
      </c>
      <c r="D12" s="421"/>
      <c r="E12" s="419">
        <v>0</v>
      </c>
      <c r="F12" s="420">
        <v>0</v>
      </c>
    </row>
    <row r="13" spans="1:6" ht="15.75" x14ac:dyDescent="0.25">
      <c r="A13" s="422" t="s">
        <v>233</v>
      </c>
      <c r="B13" s="399"/>
      <c r="C13" s="396"/>
      <c r="D13" s="396"/>
      <c r="E13" s="396"/>
      <c r="F13" s="423" t="s">
        <v>416</v>
      </c>
    </row>
    <row r="14" spans="1:6" ht="15.75" x14ac:dyDescent="0.25">
      <c r="A14" s="422"/>
      <c r="B14" s="399"/>
      <c r="C14" s="396"/>
      <c r="D14" s="396"/>
      <c r="E14" s="396"/>
      <c r="F14" s="424" t="s">
        <v>420</v>
      </c>
    </row>
    <row r="15" spans="1:6" ht="15.75" x14ac:dyDescent="0.25">
      <c r="A15" s="425" t="s">
        <v>234</v>
      </c>
      <c r="B15" s="399"/>
      <c r="C15" s="396"/>
      <c r="D15" s="396"/>
      <c r="E15" s="396"/>
      <c r="F15" s="424" t="s">
        <v>434</v>
      </c>
    </row>
    <row r="16" spans="1:6" ht="15.75" x14ac:dyDescent="0.25">
      <c r="A16" s="426" t="s">
        <v>235</v>
      </c>
      <c r="B16" s="427"/>
      <c r="C16" s="396"/>
      <c r="D16" s="396"/>
      <c r="E16" s="396"/>
      <c r="F16" s="396"/>
    </row>
    <row r="17" spans="1:2" ht="15.75" x14ac:dyDescent="0.25">
      <c r="A17" s="426"/>
      <c r="B17" s="399"/>
    </row>
    <row r="18" spans="1:2" ht="15" x14ac:dyDescent="0.25">
      <c r="A18" s="425" t="s">
        <v>236</v>
      </c>
      <c r="B18" s="396"/>
    </row>
  </sheetData>
  <mergeCells count="2">
    <mergeCell ref="B3:C3"/>
    <mergeCell ref="E3:F3"/>
  </mergeCells>
  <hyperlinks>
    <hyperlink ref="A16" r:id="rId1" xr:uid="{00000000-0004-0000-16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AA1001"/>
  <sheetViews>
    <sheetView topLeftCell="L1" workbookViewId="0">
      <selection activeCell="U16" sqref="U16"/>
    </sheetView>
  </sheetViews>
  <sheetFormatPr defaultColWidth="14.42578125" defaultRowHeight="15.75" customHeight="1" x14ac:dyDescent="0.2"/>
  <cols>
    <col min="2" max="2" width="50.7109375" customWidth="1"/>
    <col min="19" max="21" width="14.42578125" style="101"/>
  </cols>
  <sheetData>
    <row r="1" spans="1:27" ht="15.75" customHeight="1" x14ac:dyDescent="0.2">
      <c r="A1" s="5"/>
      <c r="B1" s="6"/>
      <c r="C1" s="6">
        <v>2012</v>
      </c>
      <c r="D1" s="6">
        <v>2015</v>
      </c>
      <c r="E1" s="7">
        <v>2016</v>
      </c>
      <c r="F1" s="8"/>
      <c r="G1" s="5"/>
      <c r="H1" s="6"/>
      <c r="I1" s="6"/>
      <c r="J1" s="6">
        <v>2010</v>
      </c>
      <c r="K1" s="6">
        <v>2013</v>
      </c>
      <c r="L1" s="7">
        <v>2014</v>
      </c>
      <c r="M1" s="9"/>
      <c r="Q1" s="3">
        <v>2011</v>
      </c>
      <c r="R1" s="9"/>
      <c r="S1" s="104"/>
      <c r="T1" s="105"/>
      <c r="U1" s="105">
        <v>2017</v>
      </c>
      <c r="V1" s="9"/>
      <c r="W1" s="9"/>
      <c r="X1" s="9"/>
      <c r="Y1" s="9"/>
      <c r="Z1" s="9"/>
      <c r="AA1" s="9"/>
    </row>
    <row r="2" spans="1:27" ht="15.75" customHeight="1" x14ac:dyDescent="0.2">
      <c r="A2" s="10" t="s">
        <v>94</v>
      </c>
      <c r="B2" s="10"/>
      <c r="C2" s="10">
        <v>7624</v>
      </c>
      <c r="D2" s="10">
        <v>9772</v>
      </c>
      <c r="E2" s="10">
        <v>9871</v>
      </c>
      <c r="F2" s="8"/>
      <c r="G2" s="10" t="s">
        <v>95</v>
      </c>
      <c r="H2" s="11"/>
      <c r="I2" s="11"/>
      <c r="J2" s="11">
        <v>7463</v>
      </c>
      <c r="K2" s="11">
        <v>10016</v>
      </c>
      <c r="L2" s="11">
        <v>10084</v>
      </c>
      <c r="M2" s="9"/>
      <c r="N2" s="501" t="s">
        <v>96</v>
      </c>
      <c r="O2" s="502"/>
      <c r="P2" s="502"/>
      <c r="Q2" s="12">
        <v>7722</v>
      </c>
      <c r="R2" s="9"/>
      <c r="S2" s="106"/>
      <c r="T2" s="107"/>
      <c r="U2" s="107" t="s">
        <v>212</v>
      </c>
      <c r="V2" s="9"/>
      <c r="W2" s="9"/>
      <c r="X2" s="9">
        <v>2012</v>
      </c>
      <c r="Y2" s="9"/>
      <c r="Z2" s="9"/>
      <c r="AA2" s="9"/>
    </row>
    <row r="3" spans="1:27" ht="15.75" customHeight="1" x14ac:dyDescent="0.25">
      <c r="A3" s="13" t="s">
        <v>97</v>
      </c>
      <c r="B3" s="14"/>
      <c r="C3" s="15"/>
      <c r="D3" s="15"/>
      <c r="E3" s="16"/>
      <c r="F3" s="17"/>
      <c r="G3" s="18" t="s">
        <v>97</v>
      </c>
      <c r="H3" s="19"/>
      <c r="I3" s="19"/>
      <c r="J3" s="20"/>
      <c r="K3" s="20"/>
      <c r="L3" s="21"/>
      <c r="M3" s="9"/>
      <c r="N3" s="18" t="s">
        <v>97</v>
      </c>
      <c r="O3" s="19"/>
      <c r="P3" s="19"/>
      <c r="Q3" s="21"/>
      <c r="R3" s="9"/>
      <c r="S3" s="108" t="s">
        <v>213</v>
      </c>
      <c r="T3" s="109"/>
      <c r="U3" s="109">
        <v>10103.630763491999</v>
      </c>
      <c r="V3" s="9"/>
      <c r="W3" s="119" t="s">
        <v>213</v>
      </c>
      <c r="X3" s="120">
        <v>7593</v>
      </c>
      <c r="Y3" s="9"/>
      <c r="Z3" s="9"/>
      <c r="AA3" s="9"/>
    </row>
    <row r="4" spans="1:27" ht="15" x14ac:dyDescent="0.25">
      <c r="A4" s="22"/>
      <c r="B4" s="23" t="s">
        <v>98</v>
      </c>
      <c r="C4" s="24">
        <v>699</v>
      </c>
      <c r="D4" s="25">
        <v>426</v>
      </c>
      <c r="E4" s="26">
        <v>498</v>
      </c>
      <c r="F4" s="27"/>
      <c r="G4" s="28"/>
      <c r="H4" s="29" t="s">
        <v>98</v>
      </c>
      <c r="I4" s="19"/>
      <c r="J4" s="30">
        <v>844</v>
      </c>
      <c r="K4" s="31">
        <v>689</v>
      </c>
      <c r="L4" s="32">
        <v>374</v>
      </c>
      <c r="M4" s="9"/>
      <c r="N4" s="28"/>
      <c r="O4" s="33" t="s">
        <v>99</v>
      </c>
      <c r="P4" s="19"/>
      <c r="Q4" s="34">
        <v>680</v>
      </c>
      <c r="R4" s="9"/>
      <c r="S4" s="110" t="s">
        <v>97</v>
      </c>
      <c r="T4" s="111"/>
      <c r="U4" s="111"/>
      <c r="V4" s="9"/>
      <c r="W4" s="119" t="s">
        <v>107</v>
      </c>
      <c r="X4" s="119">
        <v>282</v>
      </c>
      <c r="Y4" s="9"/>
      <c r="Z4" s="9"/>
      <c r="AA4" s="9"/>
    </row>
    <row r="5" spans="1:27" ht="15.75" customHeight="1" x14ac:dyDescent="0.25">
      <c r="A5" s="35"/>
      <c r="B5" s="36"/>
      <c r="C5" s="37"/>
      <c r="D5" s="37"/>
      <c r="E5" s="38"/>
      <c r="F5" s="39"/>
      <c r="G5" s="40"/>
      <c r="H5" s="39"/>
      <c r="I5" s="39"/>
      <c r="J5" s="41"/>
      <c r="K5" s="41"/>
      <c r="L5" s="42"/>
      <c r="M5" s="9"/>
      <c r="N5" s="40"/>
      <c r="O5" s="39"/>
      <c r="P5" s="39"/>
      <c r="Q5" s="42"/>
      <c r="R5" s="9"/>
      <c r="S5" s="110"/>
      <c r="T5" s="111" t="s">
        <v>214</v>
      </c>
      <c r="U5" s="111">
        <v>439</v>
      </c>
      <c r="V5" s="9"/>
      <c r="W5" s="119" t="s">
        <v>109</v>
      </c>
      <c r="X5" s="119">
        <v>246</v>
      </c>
      <c r="Y5" s="9"/>
      <c r="Z5" s="9"/>
      <c r="AA5" s="9"/>
    </row>
    <row r="6" spans="1:27" ht="15.75" customHeight="1" x14ac:dyDescent="0.25">
      <c r="A6" s="10" t="s">
        <v>103</v>
      </c>
      <c r="B6" s="10"/>
      <c r="C6" s="10">
        <v>1178</v>
      </c>
      <c r="D6" s="10">
        <v>2364</v>
      </c>
      <c r="E6" s="10">
        <v>3506</v>
      </c>
      <c r="F6" s="8"/>
      <c r="G6" s="11" t="s">
        <v>103</v>
      </c>
      <c r="H6" s="11"/>
      <c r="I6" s="11"/>
      <c r="J6" s="11">
        <v>1066</v>
      </c>
      <c r="K6" s="11">
        <v>1409</v>
      </c>
      <c r="L6" s="11">
        <v>1642</v>
      </c>
      <c r="M6" s="9"/>
      <c r="N6" s="503" t="s">
        <v>103</v>
      </c>
      <c r="O6" s="496"/>
      <c r="P6" s="43"/>
      <c r="Q6" s="44">
        <v>906</v>
      </c>
      <c r="R6" s="9"/>
      <c r="S6" s="110"/>
      <c r="T6" s="111"/>
      <c r="U6" s="111"/>
      <c r="V6" s="9"/>
      <c r="W6" s="119" t="s">
        <v>111</v>
      </c>
      <c r="X6" s="119">
        <v>48</v>
      </c>
      <c r="Y6" s="9"/>
      <c r="Z6" s="9"/>
      <c r="AA6" s="9"/>
    </row>
    <row r="7" spans="1:27" ht="15.75" customHeight="1" x14ac:dyDescent="0.25">
      <c r="A7" s="13" t="s">
        <v>97</v>
      </c>
      <c r="B7" s="45"/>
      <c r="C7" s="46"/>
      <c r="D7" s="46"/>
      <c r="E7" s="47"/>
      <c r="F7" s="17"/>
      <c r="G7" s="18" t="s">
        <v>97</v>
      </c>
      <c r="H7" s="48"/>
      <c r="I7" s="48"/>
      <c r="J7" s="49"/>
      <c r="K7" s="49"/>
      <c r="L7" s="50"/>
      <c r="M7" s="9"/>
      <c r="N7" s="18" t="s">
        <v>97</v>
      </c>
      <c r="O7" s="48"/>
      <c r="P7" s="48"/>
      <c r="Q7" s="50"/>
      <c r="R7" s="9"/>
      <c r="S7" s="108" t="s">
        <v>103</v>
      </c>
      <c r="T7" s="109"/>
      <c r="U7" s="109">
        <v>3955.4584694257719</v>
      </c>
      <c r="V7" s="9"/>
      <c r="W7" s="119" t="s">
        <v>13</v>
      </c>
      <c r="X7" s="119">
        <v>29</v>
      </c>
      <c r="Y7" s="9"/>
      <c r="Z7" s="9"/>
      <c r="AA7" s="9"/>
    </row>
    <row r="8" spans="1:27" ht="15" x14ac:dyDescent="0.25">
      <c r="A8" s="51"/>
      <c r="B8" s="23" t="s">
        <v>106</v>
      </c>
      <c r="C8" s="52">
        <v>288</v>
      </c>
      <c r="D8" s="25">
        <v>527</v>
      </c>
      <c r="E8" s="53">
        <v>696</v>
      </c>
      <c r="F8" s="54"/>
      <c r="G8" s="51"/>
      <c r="H8" s="495" t="s">
        <v>107</v>
      </c>
      <c r="I8" s="496"/>
      <c r="J8" s="30">
        <v>301</v>
      </c>
      <c r="K8" s="30">
        <v>295</v>
      </c>
      <c r="L8" s="55">
        <v>366</v>
      </c>
      <c r="M8" s="9"/>
      <c r="N8" s="51"/>
      <c r="O8" s="495" t="s">
        <v>107</v>
      </c>
      <c r="P8" s="496"/>
      <c r="Q8" s="55">
        <v>321</v>
      </c>
      <c r="R8" s="9"/>
      <c r="S8" s="110" t="s">
        <v>97</v>
      </c>
      <c r="T8" s="111"/>
      <c r="U8" s="111"/>
      <c r="V8" s="9"/>
      <c r="W8" s="119" t="s">
        <v>113</v>
      </c>
      <c r="X8" s="119">
        <v>22</v>
      </c>
      <c r="Y8" s="9"/>
      <c r="Z8" s="9"/>
      <c r="AA8" s="9"/>
    </row>
    <row r="9" spans="1:27" ht="15" x14ac:dyDescent="0.25">
      <c r="A9" s="51"/>
      <c r="B9" s="23" t="s">
        <v>108</v>
      </c>
      <c r="C9" s="25">
        <v>188</v>
      </c>
      <c r="D9" s="25">
        <v>324</v>
      </c>
      <c r="E9" s="26">
        <v>601</v>
      </c>
      <c r="F9" s="54"/>
      <c r="G9" s="51"/>
      <c r="H9" s="495" t="s">
        <v>109</v>
      </c>
      <c r="I9" s="496"/>
      <c r="J9" s="30">
        <v>260</v>
      </c>
      <c r="K9" s="30">
        <v>408</v>
      </c>
      <c r="L9" s="55">
        <v>192</v>
      </c>
      <c r="M9" s="9"/>
      <c r="N9" s="51"/>
      <c r="O9" s="495" t="s">
        <v>109</v>
      </c>
      <c r="P9" s="496"/>
      <c r="Q9" s="55">
        <v>144</v>
      </c>
      <c r="R9" s="9"/>
      <c r="S9" s="110"/>
      <c r="T9" s="111" t="s">
        <v>215</v>
      </c>
      <c r="U9" s="111">
        <v>765.31692989303872</v>
      </c>
      <c r="V9" s="9"/>
      <c r="W9" s="119" t="s">
        <v>239</v>
      </c>
      <c r="X9" s="119">
        <v>20</v>
      </c>
      <c r="Y9" s="9"/>
      <c r="Z9" s="9"/>
      <c r="AA9" s="9"/>
    </row>
    <row r="10" spans="1:27" ht="15" x14ac:dyDescent="0.25">
      <c r="A10" s="51"/>
      <c r="B10" s="23" t="s">
        <v>107</v>
      </c>
      <c r="C10" s="25">
        <v>282</v>
      </c>
      <c r="D10" s="25">
        <v>391</v>
      </c>
      <c r="E10" s="26">
        <v>504</v>
      </c>
      <c r="F10" s="54"/>
      <c r="G10" s="51"/>
      <c r="H10" s="495" t="s">
        <v>13</v>
      </c>
      <c r="I10" s="496"/>
      <c r="J10" s="30">
        <v>0</v>
      </c>
      <c r="K10" s="30">
        <v>33</v>
      </c>
      <c r="L10" s="55">
        <v>136</v>
      </c>
      <c r="M10" s="9"/>
      <c r="N10" s="51"/>
      <c r="O10" s="495" t="s">
        <v>110</v>
      </c>
      <c r="P10" s="496"/>
      <c r="Q10" s="55">
        <v>0</v>
      </c>
      <c r="R10" s="9"/>
      <c r="S10" s="110"/>
      <c r="T10" s="111" t="s">
        <v>107</v>
      </c>
      <c r="U10" s="111">
        <v>627.29965945200036</v>
      </c>
      <c r="V10" s="9"/>
      <c r="W10" s="119" t="s">
        <v>115</v>
      </c>
      <c r="X10" s="119">
        <v>15</v>
      </c>
      <c r="Y10" s="9"/>
      <c r="Z10" s="9"/>
      <c r="AA10" s="9"/>
    </row>
    <row r="11" spans="1:27" ht="15" x14ac:dyDescent="0.25">
      <c r="A11" s="51"/>
      <c r="B11" s="23" t="s">
        <v>13</v>
      </c>
      <c r="C11" s="25">
        <v>29</v>
      </c>
      <c r="D11" s="56">
        <v>222</v>
      </c>
      <c r="E11" s="26">
        <v>360</v>
      </c>
      <c r="F11" s="54"/>
      <c r="G11" s="51"/>
      <c r="H11" s="495" t="s">
        <v>111</v>
      </c>
      <c r="I11" s="496"/>
      <c r="J11" s="30">
        <v>0</v>
      </c>
      <c r="K11" s="30">
        <v>49</v>
      </c>
      <c r="L11" s="55">
        <v>79</v>
      </c>
      <c r="M11" s="9"/>
      <c r="N11" s="51"/>
      <c r="O11" s="495" t="s">
        <v>13</v>
      </c>
      <c r="P11" s="496"/>
      <c r="Q11" s="55">
        <v>0</v>
      </c>
      <c r="R11" s="9"/>
      <c r="S11" s="110"/>
      <c r="T11" s="111" t="s">
        <v>216</v>
      </c>
      <c r="U11" s="111">
        <v>554.60003774929953</v>
      </c>
      <c r="V11" s="9"/>
      <c r="W11" s="119" t="s">
        <v>114</v>
      </c>
      <c r="X11" s="119">
        <v>10</v>
      </c>
      <c r="Y11" s="9"/>
      <c r="Z11" s="9"/>
      <c r="AA11" s="9"/>
    </row>
    <row r="12" spans="1:27" ht="15" x14ac:dyDescent="0.25">
      <c r="A12" s="51"/>
      <c r="B12" s="23" t="s">
        <v>112</v>
      </c>
      <c r="C12" s="25">
        <v>0</v>
      </c>
      <c r="D12" s="25">
        <v>0</v>
      </c>
      <c r="E12" s="26">
        <v>73</v>
      </c>
      <c r="F12" s="54"/>
      <c r="G12" s="51"/>
      <c r="H12" s="495" t="s">
        <v>113</v>
      </c>
      <c r="I12" s="496"/>
      <c r="J12" s="30">
        <v>0</v>
      </c>
      <c r="K12" s="30">
        <v>40</v>
      </c>
      <c r="L12" s="55">
        <v>57</v>
      </c>
      <c r="M12" s="9"/>
      <c r="N12" s="51"/>
      <c r="O12" s="495" t="s">
        <v>111</v>
      </c>
      <c r="P12" s="496"/>
      <c r="Q12" s="55">
        <v>0</v>
      </c>
      <c r="R12" s="102"/>
      <c r="S12" s="110"/>
      <c r="T12" s="111" t="s">
        <v>13</v>
      </c>
      <c r="U12" s="111">
        <v>333.00043781199997</v>
      </c>
      <c r="V12" s="9"/>
      <c r="W12" s="119" t="s">
        <v>117</v>
      </c>
      <c r="X12" s="119">
        <v>10</v>
      </c>
      <c r="Y12" s="9"/>
      <c r="Z12" s="9"/>
      <c r="AA12" s="9"/>
    </row>
    <row r="13" spans="1:27" ht="15" x14ac:dyDescent="0.25">
      <c r="A13" s="51"/>
      <c r="B13" s="23" t="s">
        <v>113</v>
      </c>
      <c r="C13" s="25">
        <v>22</v>
      </c>
      <c r="D13" s="25">
        <v>57</v>
      </c>
      <c r="E13" s="26">
        <v>66</v>
      </c>
      <c r="F13" s="54"/>
      <c r="G13" s="51"/>
      <c r="H13" s="495" t="s">
        <v>114</v>
      </c>
      <c r="I13" s="496"/>
      <c r="J13" s="30">
        <v>0</v>
      </c>
      <c r="K13" s="30">
        <v>11</v>
      </c>
      <c r="L13" s="55">
        <v>12</v>
      </c>
      <c r="M13" s="9"/>
      <c r="N13" s="51"/>
      <c r="O13" s="495" t="s">
        <v>113</v>
      </c>
      <c r="P13" s="496"/>
      <c r="Q13" s="55">
        <v>0</v>
      </c>
      <c r="R13" s="9"/>
      <c r="S13" s="110"/>
      <c r="T13" s="111" t="s">
        <v>217</v>
      </c>
      <c r="U13" s="111">
        <v>100.98327264000001</v>
      </c>
      <c r="V13" s="9"/>
      <c r="W13" s="119" t="s">
        <v>240</v>
      </c>
      <c r="X13" s="119">
        <v>5</v>
      </c>
      <c r="Y13" s="9"/>
      <c r="Z13" s="9"/>
      <c r="AA13" s="9"/>
    </row>
    <row r="14" spans="1:27" ht="15" x14ac:dyDescent="0.25">
      <c r="A14" s="51"/>
      <c r="B14" s="23" t="s">
        <v>115</v>
      </c>
      <c r="C14" s="25">
        <v>15</v>
      </c>
      <c r="D14" s="25">
        <v>32</v>
      </c>
      <c r="E14" s="26">
        <v>46</v>
      </c>
      <c r="F14" s="54"/>
      <c r="G14" s="51"/>
      <c r="H14" s="495" t="s">
        <v>115</v>
      </c>
      <c r="I14" s="496"/>
      <c r="J14" s="30">
        <v>0</v>
      </c>
      <c r="K14" s="30">
        <v>12</v>
      </c>
      <c r="L14" s="55">
        <v>11</v>
      </c>
      <c r="M14" s="9"/>
      <c r="N14" s="51"/>
      <c r="O14" s="495" t="s">
        <v>115</v>
      </c>
      <c r="P14" s="496"/>
      <c r="Q14" s="55">
        <v>0</v>
      </c>
      <c r="R14" s="9"/>
      <c r="S14" s="110"/>
      <c r="T14" s="111" t="s">
        <v>113</v>
      </c>
      <c r="U14" s="111">
        <v>67.210495408400007</v>
      </c>
      <c r="V14" s="9"/>
      <c r="W14" s="119" t="s">
        <v>124</v>
      </c>
      <c r="X14" s="119">
        <v>2</v>
      </c>
      <c r="Y14" s="9"/>
      <c r="Z14" s="9"/>
      <c r="AA14" s="9"/>
    </row>
    <row r="15" spans="1:27" ht="15" x14ac:dyDescent="0.25">
      <c r="A15" s="51"/>
      <c r="B15" s="23" t="s">
        <v>116</v>
      </c>
      <c r="C15" s="25">
        <v>0</v>
      </c>
      <c r="D15" s="25">
        <v>0</v>
      </c>
      <c r="E15" s="26">
        <v>38</v>
      </c>
      <c r="F15" s="54"/>
      <c r="G15" s="51"/>
      <c r="H15" s="495" t="s">
        <v>117</v>
      </c>
      <c r="I15" s="496"/>
      <c r="J15" s="30">
        <v>0</v>
      </c>
      <c r="K15" s="30">
        <v>10</v>
      </c>
      <c r="L15" s="55">
        <v>8</v>
      </c>
      <c r="M15" s="9"/>
      <c r="N15" s="51"/>
      <c r="O15" s="495" t="s">
        <v>118</v>
      </c>
      <c r="P15" s="496"/>
      <c r="Q15" s="55">
        <v>0</v>
      </c>
      <c r="R15" s="9"/>
      <c r="S15" s="110"/>
      <c r="T15" s="111" t="s">
        <v>218</v>
      </c>
      <c r="U15" s="111">
        <v>45.632546259999899</v>
      </c>
      <c r="V15" s="9"/>
      <c r="W15" s="119" t="s">
        <v>123</v>
      </c>
      <c r="X15" s="119">
        <v>1</v>
      </c>
      <c r="Y15" s="9"/>
      <c r="Z15" s="9"/>
      <c r="AA15" s="9"/>
    </row>
    <row r="16" spans="1:27" ht="15" x14ac:dyDescent="0.25">
      <c r="A16" s="51"/>
      <c r="B16" s="23" t="s">
        <v>119</v>
      </c>
      <c r="C16" s="25">
        <v>0</v>
      </c>
      <c r="D16" s="25">
        <v>22</v>
      </c>
      <c r="E16" s="26">
        <v>28</v>
      </c>
      <c r="F16" s="54"/>
      <c r="G16" s="51"/>
      <c r="H16" s="495" t="s">
        <v>120</v>
      </c>
      <c r="I16" s="496"/>
      <c r="J16" s="30">
        <v>54</v>
      </c>
      <c r="K16" s="30">
        <v>30</v>
      </c>
      <c r="L16" s="55">
        <v>3</v>
      </c>
      <c r="M16" s="9"/>
      <c r="N16" s="51"/>
      <c r="O16" s="495" t="s">
        <v>121</v>
      </c>
      <c r="P16" s="496"/>
      <c r="Q16" s="55">
        <v>5</v>
      </c>
      <c r="R16" s="9"/>
      <c r="S16" s="110"/>
      <c r="T16" s="111" t="s">
        <v>117</v>
      </c>
      <c r="U16" s="111">
        <v>30.516946000000001</v>
      </c>
      <c r="V16" s="9"/>
      <c r="W16" s="9"/>
      <c r="X16" s="9"/>
      <c r="Y16" s="9"/>
      <c r="Z16" s="9"/>
      <c r="AA16" s="9"/>
    </row>
    <row r="17" spans="1:27" ht="15" x14ac:dyDescent="0.25">
      <c r="A17" s="51"/>
      <c r="B17" s="23" t="s">
        <v>117</v>
      </c>
      <c r="C17" s="25">
        <v>10</v>
      </c>
      <c r="D17" s="52">
        <v>22</v>
      </c>
      <c r="E17" s="26">
        <v>24</v>
      </c>
      <c r="F17" s="54"/>
      <c r="G17" s="51"/>
      <c r="H17" s="495" t="s">
        <v>121</v>
      </c>
      <c r="I17" s="496"/>
      <c r="J17" s="30">
        <v>0</v>
      </c>
      <c r="K17" s="30">
        <v>3</v>
      </c>
      <c r="L17" s="55">
        <v>2</v>
      </c>
      <c r="M17" s="9"/>
      <c r="N17" s="51"/>
      <c r="O17" s="495" t="s">
        <v>117</v>
      </c>
      <c r="P17" s="496"/>
      <c r="Q17" s="55">
        <v>0</v>
      </c>
      <c r="R17" s="9"/>
      <c r="S17" s="110"/>
      <c r="T17" s="111" t="s">
        <v>219</v>
      </c>
      <c r="U17" s="111">
        <v>24.123000000000001</v>
      </c>
      <c r="V17" s="9"/>
      <c r="W17" s="9"/>
      <c r="X17" s="9"/>
      <c r="Y17" s="9"/>
      <c r="Z17" s="9"/>
      <c r="AA17" s="9"/>
    </row>
    <row r="18" spans="1:27" ht="15" x14ac:dyDescent="0.25">
      <c r="A18" s="51"/>
      <c r="B18" s="23" t="s">
        <v>122</v>
      </c>
      <c r="C18" s="25">
        <v>0</v>
      </c>
      <c r="D18" s="25">
        <v>2</v>
      </c>
      <c r="E18" s="26">
        <v>9</v>
      </c>
      <c r="F18" s="54"/>
      <c r="G18" s="51"/>
      <c r="H18" s="495" t="s">
        <v>123</v>
      </c>
      <c r="I18" s="496"/>
      <c r="J18" s="30">
        <v>1</v>
      </c>
      <c r="K18" s="30">
        <v>1</v>
      </c>
      <c r="L18" s="55">
        <v>1</v>
      </c>
      <c r="M18" s="9"/>
      <c r="N18" s="51"/>
      <c r="O18" s="495" t="s">
        <v>122</v>
      </c>
      <c r="P18" s="496"/>
      <c r="Q18" s="55">
        <v>0</v>
      </c>
      <c r="R18" s="9"/>
      <c r="S18" s="110"/>
      <c r="T18" s="111" t="s">
        <v>122</v>
      </c>
      <c r="U18" s="111">
        <v>14.391568569999899</v>
      </c>
      <c r="V18" s="9"/>
      <c r="W18" s="9"/>
      <c r="X18" s="9"/>
      <c r="Y18" s="9"/>
      <c r="Z18" s="9"/>
      <c r="AA18" s="9"/>
    </row>
    <row r="19" spans="1:27" ht="15" x14ac:dyDescent="0.25">
      <c r="A19" s="51"/>
      <c r="B19" s="23" t="s">
        <v>121</v>
      </c>
      <c r="C19" s="25">
        <v>5</v>
      </c>
      <c r="D19" s="25">
        <v>9</v>
      </c>
      <c r="E19" s="26">
        <v>5</v>
      </c>
      <c r="F19" s="54"/>
      <c r="G19" s="51"/>
      <c r="H19" s="495" t="s">
        <v>124</v>
      </c>
      <c r="I19" s="496"/>
      <c r="J19" s="30">
        <v>0</v>
      </c>
      <c r="K19" s="30">
        <v>1</v>
      </c>
      <c r="L19" s="55">
        <v>0</v>
      </c>
      <c r="M19" s="9"/>
      <c r="N19" s="51"/>
      <c r="O19" s="495" t="s">
        <v>124</v>
      </c>
      <c r="P19" s="496"/>
      <c r="Q19" s="55">
        <v>0</v>
      </c>
      <c r="R19" s="9"/>
      <c r="S19" s="110"/>
      <c r="T19" s="111" t="s">
        <v>121</v>
      </c>
      <c r="U19" s="111">
        <v>5.7022993255000003</v>
      </c>
      <c r="V19" s="9"/>
      <c r="W19" s="9"/>
      <c r="X19" s="9"/>
      <c r="Y19" s="9"/>
      <c r="Z19" s="9"/>
      <c r="AA19" s="9"/>
    </row>
    <row r="20" spans="1:27" ht="15" x14ac:dyDescent="0.25">
      <c r="A20" s="51"/>
      <c r="B20" s="23" t="s">
        <v>125</v>
      </c>
      <c r="C20" s="25">
        <v>20</v>
      </c>
      <c r="D20" s="25">
        <v>0</v>
      </c>
      <c r="E20" s="26">
        <v>2</v>
      </c>
      <c r="F20" s="39"/>
      <c r="G20" s="40"/>
      <c r="H20" s="39"/>
      <c r="I20" s="39"/>
      <c r="J20" s="41"/>
      <c r="K20" s="41"/>
      <c r="L20" s="42"/>
      <c r="M20" s="9"/>
      <c r="N20" s="51"/>
      <c r="O20" s="495" t="s">
        <v>126</v>
      </c>
      <c r="P20" s="496"/>
      <c r="Q20" s="55">
        <v>0</v>
      </c>
      <c r="R20" s="9"/>
      <c r="S20" s="110"/>
      <c r="T20" s="111" t="s">
        <v>124</v>
      </c>
      <c r="U20" s="111">
        <v>4.1705632783000004</v>
      </c>
      <c r="V20" s="9"/>
      <c r="W20" s="9"/>
      <c r="X20" s="9"/>
      <c r="Y20" s="9"/>
      <c r="Z20" s="9"/>
      <c r="AA20" s="9"/>
    </row>
    <row r="21" spans="1:27" ht="15" x14ac:dyDescent="0.25">
      <c r="A21" s="51"/>
      <c r="B21" s="23" t="s">
        <v>124</v>
      </c>
      <c r="C21" s="25">
        <v>2</v>
      </c>
      <c r="D21" s="56" t="s">
        <v>127</v>
      </c>
      <c r="E21" s="57">
        <v>2</v>
      </c>
      <c r="F21" s="54"/>
      <c r="G21" s="51"/>
      <c r="H21" s="500" t="s">
        <v>128</v>
      </c>
      <c r="I21" s="496"/>
      <c r="J21" s="49"/>
      <c r="K21" s="49"/>
      <c r="L21" s="50"/>
      <c r="M21" s="9"/>
      <c r="N21" s="51"/>
      <c r="O21" s="495" t="s">
        <v>120</v>
      </c>
      <c r="P21" s="496"/>
      <c r="Q21" s="55">
        <v>91</v>
      </c>
      <c r="R21" s="9"/>
      <c r="S21" s="110"/>
      <c r="T21" s="111" t="s">
        <v>220</v>
      </c>
      <c r="U21" s="111">
        <v>2.8913632599999999</v>
      </c>
      <c r="V21" s="9"/>
      <c r="W21" s="9"/>
      <c r="X21" s="9"/>
      <c r="Y21" s="9"/>
      <c r="Z21" s="9"/>
      <c r="AA21" s="9"/>
    </row>
    <row r="22" spans="1:27" ht="15" x14ac:dyDescent="0.25">
      <c r="A22" s="51"/>
      <c r="B22" s="23" t="s">
        <v>129</v>
      </c>
      <c r="C22" s="25">
        <v>0</v>
      </c>
      <c r="D22" s="25">
        <v>0</v>
      </c>
      <c r="E22" s="57" t="s">
        <v>127</v>
      </c>
      <c r="F22" s="54"/>
      <c r="G22" s="51"/>
      <c r="H22" s="495" t="s">
        <v>130</v>
      </c>
      <c r="I22" s="496"/>
      <c r="J22" s="30">
        <v>110</v>
      </c>
      <c r="K22" s="30">
        <v>124</v>
      </c>
      <c r="L22" s="55">
        <v>442</v>
      </c>
      <c r="M22" s="9"/>
      <c r="N22" s="40"/>
      <c r="O22" s="39"/>
      <c r="P22" s="39"/>
      <c r="Q22" s="42"/>
      <c r="R22" s="9"/>
      <c r="S22" s="110"/>
      <c r="T22" s="111" t="s">
        <v>221</v>
      </c>
      <c r="U22" s="111">
        <v>2.5204459999999997</v>
      </c>
      <c r="V22" s="9"/>
      <c r="W22" s="9"/>
      <c r="X22" s="9"/>
      <c r="Y22" s="9"/>
      <c r="Z22" s="9"/>
      <c r="AA22" s="9"/>
    </row>
    <row r="23" spans="1:27" ht="15" x14ac:dyDescent="0.25">
      <c r="A23" s="51"/>
      <c r="B23" s="23" t="s">
        <v>131</v>
      </c>
      <c r="C23" s="25">
        <v>103</v>
      </c>
      <c r="D23" s="25">
        <v>0</v>
      </c>
      <c r="E23" s="26">
        <v>0</v>
      </c>
      <c r="F23" s="54"/>
      <c r="G23" s="51"/>
      <c r="H23" s="495" t="s">
        <v>132</v>
      </c>
      <c r="I23" s="496"/>
      <c r="J23" s="30">
        <v>0</v>
      </c>
      <c r="K23" s="30">
        <v>198</v>
      </c>
      <c r="L23" s="55">
        <v>180</v>
      </c>
      <c r="M23" s="9"/>
      <c r="N23" s="51"/>
      <c r="O23" s="58" t="s">
        <v>133</v>
      </c>
      <c r="P23" s="48"/>
      <c r="Q23" s="50"/>
      <c r="R23" s="9"/>
      <c r="S23" s="110"/>
      <c r="T23" s="111" t="s">
        <v>222</v>
      </c>
      <c r="U23" s="111">
        <v>0.95892586879999997</v>
      </c>
      <c r="V23" s="9"/>
      <c r="W23" s="9"/>
      <c r="X23" s="9"/>
      <c r="Y23" s="9"/>
      <c r="Z23" s="9"/>
      <c r="AA23" s="9"/>
    </row>
    <row r="24" spans="1:27" ht="15" x14ac:dyDescent="0.25">
      <c r="A24" s="35"/>
      <c r="B24" s="36"/>
      <c r="C24" s="37"/>
      <c r="D24" s="37"/>
      <c r="E24" s="38"/>
      <c r="F24" s="54"/>
      <c r="G24" s="51"/>
      <c r="H24" s="29" t="s">
        <v>134</v>
      </c>
      <c r="I24" s="39"/>
      <c r="J24" s="30">
        <v>0</v>
      </c>
      <c r="K24" s="30">
        <v>91</v>
      </c>
      <c r="L24" s="55">
        <v>106</v>
      </c>
      <c r="M24" s="9"/>
      <c r="N24" s="51"/>
      <c r="O24" s="495" t="s">
        <v>135</v>
      </c>
      <c r="P24" s="496"/>
      <c r="Q24" s="55">
        <v>76</v>
      </c>
      <c r="R24" s="9"/>
      <c r="S24" s="110"/>
      <c r="T24" s="111" t="s">
        <v>223</v>
      </c>
      <c r="U24" s="111">
        <v>0.224999</v>
      </c>
      <c r="V24" s="9"/>
      <c r="W24" s="9"/>
      <c r="X24" s="9"/>
      <c r="Y24" s="9"/>
      <c r="Z24" s="9"/>
      <c r="AA24" s="9"/>
    </row>
    <row r="25" spans="1:27" ht="15" x14ac:dyDescent="0.25">
      <c r="A25" s="51"/>
      <c r="B25" s="59" t="s">
        <v>133</v>
      </c>
      <c r="C25" s="60"/>
      <c r="D25" s="60"/>
      <c r="E25" s="61"/>
      <c r="F25" s="54"/>
      <c r="G25" s="51"/>
      <c r="H25" s="495" t="s">
        <v>136</v>
      </c>
      <c r="I25" s="496"/>
      <c r="J25" s="30">
        <v>228</v>
      </c>
      <c r="K25" s="30">
        <v>100</v>
      </c>
      <c r="L25" s="55">
        <v>42</v>
      </c>
      <c r="M25" s="9"/>
      <c r="N25" s="51"/>
      <c r="O25" s="495" t="s">
        <v>137</v>
      </c>
      <c r="P25" s="496"/>
      <c r="Q25" s="55">
        <v>0</v>
      </c>
      <c r="R25" s="9"/>
      <c r="S25" s="110"/>
      <c r="T25" s="111"/>
      <c r="U25" s="111"/>
      <c r="V25" s="9"/>
      <c r="W25" s="9"/>
      <c r="X25" s="9"/>
      <c r="Y25" s="9"/>
      <c r="Z25" s="9"/>
      <c r="AA25" s="9"/>
    </row>
    <row r="26" spans="1:27" ht="15" x14ac:dyDescent="0.25">
      <c r="A26" s="51"/>
      <c r="B26" s="23" t="s">
        <v>138</v>
      </c>
      <c r="C26" s="25">
        <v>109</v>
      </c>
      <c r="D26" s="25">
        <v>509</v>
      </c>
      <c r="E26" s="26">
        <v>478</v>
      </c>
      <c r="F26" s="54"/>
      <c r="G26" s="51"/>
      <c r="H26" s="495" t="s">
        <v>139</v>
      </c>
      <c r="I26" s="496"/>
      <c r="J26" s="30">
        <v>0</v>
      </c>
      <c r="K26" s="30">
        <v>0</v>
      </c>
      <c r="L26" s="55">
        <v>2</v>
      </c>
      <c r="M26" s="9"/>
      <c r="N26" s="51"/>
      <c r="O26" s="29" t="s">
        <v>134</v>
      </c>
      <c r="P26" s="39"/>
      <c r="Q26" s="55">
        <v>65</v>
      </c>
      <c r="R26" s="9"/>
      <c r="S26" s="110"/>
      <c r="T26" s="111" t="s">
        <v>133</v>
      </c>
      <c r="U26" s="111"/>
      <c r="V26" s="9"/>
      <c r="W26" s="9"/>
      <c r="X26" s="9"/>
      <c r="Y26" s="9"/>
      <c r="Z26" s="9"/>
      <c r="AA26" s="9"/>
    </row>
    <row r="27" spans="1:27" ht="15" x14ac:dyDescent="0.25">
      <c r="A27" s="51"/>
      <c r="B27" s="23" t="s">
        <v>137</v>
      </c>
      <c r="C27" s="25">
        <v>0</v>
      </c>
      <c r="D27" s="25">
        <v>120</v>
      </c>
      <c r="E27" s="26">
        <v>446</v>
      </c>
      <c r="F27" s="54"/>
      <c r="G27" s="51"/>
      <c r="H27" s="495" t="s">
        <v>140</v>
      </c>
      <c r="I27" s="496"/>
      <c r="J27" s="30">
        <v>3</v>
      </c>
      <c r="K27" s="30">
        <v>2</v>
      </c>
      <c r="L27" s="55">
        <v>2</v>
      </c>
      <c r="M27" s="9"/>
      <c r="N27" s="51"/>
      <c r="O27" s="495" t="s">
        <v>139</v>
      </c>
      <c r="P27" s="496"/>
      <c r="Q27" s="55">
        <v>0</v>
      </c>
      <c r="R27" s="9"/>
      <c r="S27" s="110"/>
      <c r="T27" s="111" t="s">
        <v>137</v>
      </c>
      <c r="U27" s="111">
        <v>725.86291299999993</v>
      </c>
      <c r="V27" s="9"/>
      <c r="W27" s="9"/>
      <c r="X27" s="9"/>
      <c r="Y27" s="9"/>
      <c r="Z27" s="9"/>
      <c r="AA27" s="9"/>
    </row>
    <row r="28" spans="1:27" ht="15" x14ac:dyDescent="0.25">
      <c r="A28" s="51"/>
      <c r="B28" s="23" t="s">
        <v>134</v>
      </c>
      <c r="C28" s="25">
        <v>91</v>
      </c>
      <c r="D28" s="25">
        <v>105</v>
      </c>
      <c r="E28" s="26">
        <v>90</v>
      </c>
      <c r="F28" s="54"/>
      <c r="G28" s="51"/>
      <c r="H28" s="39"/>
      <c r="I28" s="39"/>
      <c r="J28" s="41"/>
      <c r="K28" s="41"/>
      <c r="L28" s="42"/>
      <c r="M28" s="9"/>
      <c r="N28" s="51"/>
      <c r="O28" s="495" t="s">
        <v>114</v>
      </c>
      <c r="P28" s="496"/>
      <c r="Q28" s="55">
        <v>0</v>
      </c>
      <c r="R28" s="9"/>
      <c r="S28" s="110"/>
      <c r="T28" s="111" t="s">
        <v>224</v>
      </c>
      <c r="U28" s="111">
        <v>444.5</v>
      </c>
      <c r="V28" s="9"/>
      <c r="W28" s="9"/>
      <c r="X28" s="9"/>
      <c r="Y28" s="9"/>
      <c r="Z28" s="9"/>
      <c r="AA28" s="9"/>
    </row>
    <row r="29" spans="1:27" ht="15" x14ac:dyDescent="0.25">
      <c r="A29" s="51"/>
      <c r="B29" s="23" t="s">
        <v>139</v>
      </c>
      <c r="C29" s="25">
        <v>0</v>
      </c>
      <c r="D29" s="25">
        <v>20</v>
      </c>
      <c r="E29" s="26">
        <v>24</v>
      </c>
      <c r="F29" s="54"/>
      <c r="G29" s="51"/>
      <c r="H29" s="495" t="s">
        <v>141</v>
      </c>
      <c r="I29" s="496"/>
      <c r="J29" s="30">
        <v>110</v>
      </c>
      <c r="K29" s="30">
        <v>0</v>
      </c>
      <c r="L29" s="55">
        <v>0</v>
      </c>
      <c r="M29" s="9"/>
      <c r="N29" s="51"/>
      <c r="O29" s="495" t="s">
        <v>140</v>
      </c>
      <c r="P29" s="496"/>
      <c r="Q29" s="55">
        <v>3</v>
      </c>
      <c r="R29" s="9"/>
      <c r="S29" s="110"/>
      <c r="T29" s="111" t="s">
        <v>134</v>
      </c>
      <c r="U29" s="111">
        <v>163.88711999999998</v>
      </c>
      <c r="V29" s="9"/>
      <c r="W29" s="9"/>
      <c r="X29" s="9"/>
      <c r="Y29" s="9"/>
      <c r="Z29" s="9"/>
      <c r="AA29" s="9"/>
    </row>
    <row r="30" spans="1:27" ht="15" x14ac:dyDescent="0.25">
      <c r="A30" s="51"/>
      <c r="B30" s="23" t="s">
        <v>114</v>
      </c>
      <c r="C30" s="25">
        <v>10</v>
      </c>
      <c r="D30" s="25">
        <v>11</v>
      </c>
      <c r="E30" s="26">
        <v>12</v>
      </c>
      <c r="F30" s="54"/>
      <c r="G30" s="51"/>
      <c r="H30" s="39"/>
      <c r="I30" s="39"/>
      <c r="J30" s="41"/>
      <c r="K30" s="41"/>
      <c r="L30" s="42"/>
      <c r="M30" s="9"/>
      <c r="N30" s="51"/>
      <c r="O30" s="495" t="s">
        <v>123</v>
      </c>
      <c r="P30" s="496"/>
      <c r="Q30" s="55">
        <v>0</v>
      </c>
      <c r="R30" s="9"/>
      <c r="S30" s="110"/>
      <c r="T30" s="111" t="s">
        <v>139</v>
      </c>
      <c r="U30" s="111">
        <v>24.951801278433329</v>
      </c>
      <c r="V30" s="9"/>
      <c r="W30" s="9"/>
      <c r="X30" s="9"/>
      <c r="Y30" s="9"/>
      <c r="Z30" s="9"/>
      <c r="AA30" s="9"/>
    </row>
    <row r="31" spans="1:27" ht="15" x14ac:dyDescent="0.25">
      <c r="A31" s="62"/>
      <c r="B31" s="23" t="s">
        <v>140</v>
      </c>
      <c r="C31" s="25">
        <v>3</v>
      </c>
      <c r="D31" s="25">
        <v>2</v>
      </c>
      <c r="E31" s="26">
        <v>2</v>
      </c>
      <c r="F31" s="8"/>
      <c r="G31" s="499" t="s">
        <v>142</v>
      </c>
      <c r="H31" s="498"/>
      <c r="I31" s="63"/>
      <c r="J31" s="64">
        <v>8529</v>
      </c>
      <c r="K31" s="64">
        <v>11424</v>
      </c>
      <c r="L31" s="65">
        <v>11726</v>
      </c>
      <c r="M31" s="9"/>
      <c r="N31" s="51"/>
      <c r="O31" s="495" t="s">
        <v>143</v>
      </c>
      <c r="P31" s="496"/>
      <c r="Q31" s="55">
        <v>91</v>
      </c>
      <c r="R31" s="9"/>
      <c r="S31" s="110"/>
      <c r="T31" s="111" t="s">
        <v>114</v>
      </c>
      <c r="U31" s="111">
        <v>13.956237159999901</v>
      </c>
      <c r="V31" s="9"/>
      <c r="W31" s="9"/>
      <c r="X31" s="9"/>
      <c r="Y31" s="9"/>
      <c r="Z31" s="9"/>
      <c r="AA31" s="9"/>
    </row>
    <row r="32" spans="1:27" ht="15" x14ac:dyDescent="0.25">
      <c r="A32" s="51"/>
      <c r="B32" s="23" t="s">
        <v>123</v>
      </c>
      <c r="C32" s="25">
        <v>1</v>
      </c>
      <c r="D32" s="25">
        <v>1</v>
      </c>
      <c r="E32" s="26">
        <v>1</v>
      </c>
      <c r="F32" s="9"/>
      <c r="G32" s="9"/>
      <c r="H32" s="9"/>
      <c r="I32" s="9"/>
      <c r="J32" s="9"/>
      <c r="K32" s="9"/>
      <c r="L32" s="9"/>
      <c r="M32" s="9"/>
      <c r="N32" s="51"/>
      <c r="O32" s="39"/>
      <c r="P32" s="39"/>
      <c r="Q32" s="42"/>
      <c r="R32" s="9"/>
      <c r="S32" s="110"/>
      <c r="T32" s="111" t="s">
        <v>140</v>
      </c>
      <c r="U32" s="111">
        <v>1.6527054700000001</v>
      </c>
      <c r="V32" s="9"/>
      <c r="W32" s="9"/>
      <c r="X32" s="9"/>
      <c r="Y32" s="9"/>
      <c r="Z32" s="9"/>
      <c r="AA32" s="9"/>
    </row>
    <row r="33" spans="1:27" ht="15" x14ac:dyDescent="0.25">
      <c r="A33" s="51"/>
      <c r="B33" s="36"/>
      <c r="C33" s="37"/>
      <c r="D33" s="37"/>
      <c r="E33" s="38"/>
      <c r="F33" s="9"/>
      <c r="G33" s="9"/>
      <c r="H33" s="9"/>
      <c r="I33" s="9"/>
      <c r="J33" s="9"/>
      <c r="K33" s="9"/>
      <c r="L33" s="9"/>
      <c r="M33" s="9"/>
      <c r="N33" s="51"/>
      <c r="O33" s="495" t="s">
        <v>141</v>
      </c>
      <c r="P33" s="496"/>
      <c r="Q33" s="55">
        <v>111</v>
      </c>
      <c r="R33" s="9"/>
      <c r="S33" s="110"/>
      <c r="T33" s="111" t="s">
        <v>123</v>
      </c>
      <c r="U33" s="111">
        <v>1.1042019999999999</v>
      </c>
      <c r="V33" s="9"/>
      <c r="W33" s="9"/>
      <c r="X33" s="9"/>
      <c r="Y33" s="9"/>
      <c r="Z33" s="9"/>
      <c r="AA33" s="9"/>
    </row>
    <row r="34" spans="1:27" ht="15" x14ac:dyDescent="0.25">
      <c r="A34" s="497" t="s">
        <v>144</v>
      </c>
      <c r="B34" s="498"/>
      <c r="C34" s="66">
        <v>8802</v>
      </c>
      <c r="D34" s="66">
        <v>12136</v>
      </c>
      <c r="E34" s="67">
        <v>13377</v>
      </c>
      <c r="F34" s="9"/>
      <c r="G34" s="9"/>
      <c r="H34" s="9"/>
      <c r="I34" s="9"/>
      <c r="J34" s="9"/>
      <c r="K34" s="9"/>
      <c r="L34" s="9"/>
      <c r="M34" s="9"/>
      <c r="N34" s="51"/>
      <c r="O34" s="39"/>
      <c r="P34" s="39"/>
      <c r="Q34" s="42"/>
      <c r="R34" s="9"/>
      <c r="S34" s="110"/>
      <c r="T34" s="111"/>
      <c r="U34" s="111"/>
      <c r="V34" s="9"/>
      <c r="W34" s="9"/>
      <c r="X34" s="9"/>
      <c r="Y34" s="9"/>
      <c r="Z34" s="9"/>
      <c r="AA34" s="9"/>
    </row>
    <row r="35" spans="1:27" ht="15" x14ac:dyDescent="0.25">
      <c r="A35" s="9"/>
      <c r="B35" s="9"/>
      <c r="C35" s="9"/>
      <c r="D35" s="9"/>
      <c r="E35" s="9"/>
      <c r="F35" s="9"/>
      <c r="G35" s="9"/>
      <c r="H35" s="9"/>
      <c r="I35" s="9"/>
      <c r="J35" s="9"/>
      <c r="K35" s="9"/>
      <c r="L35" s="9"/>
      <c r="M35" s="9"/>
      <c r="N35" s="499" t="s">
        <v>142</v>
      </c>
      <c r="O35" s="498"/>
      <c r="P35" s="63"/>
      <c r="Q35" s="65">
        <v>8629</v>
      </c>
      <c r="R35" s="9"/>
      <c r="S35" s="112" t="s">
        <v>142</v>
      </c>
      <c r="T35" s="113"/>
      <c r="U35" s="113">
        <v>14059.08923291776</v>
      </c>
      <c r="V35" s="9"/>
      <c r="W35" s="9"/>
      <c r="X35" s="9"/>
      <c r="Y35" s="9"/>
      <c r="Z35" s="9"/>
      <c r="AA35" s="9"/>
    </row>
    <row r="36" spans="1:27" ht="12.75" x14ac:dyDescent="0.2">
      <c r="A36" s="9"/>
      <c r="B36" s="9"/>
      <c r="C36" s="9"/>
      <c r="D36" s="9"/>
      <c r="E36" s="9"/>
      <c r="F36" s="9"/>
      <c r="G36" s="9"/>
      <c r="H36" s="9"/>
      <c r="I36" s="9"/>
      <c r="J36" s="9"/>
      <c r="K36" s="9"/>
      <c r="L36" s="9"/>
      <c r="M36" s="9"/>
      <c r="N36" s="9"/>
      <c r="O36" s="9"/>
      <c r="P36" s="9"/>
      <c r="Q36" s="9"/>
      <c r="R36" s="9"/>
      <c r="S36" s="9" t="s">
        <v>225</v>
      </c>
      <c r="T36" s="9"/>
      <c r="U36" s="9"/>
      <c r="V36" s="9"/>
      <c r="W36" s="9"/>
      <c r="X36" s="9"/>
      <c r="Y36" s="9"/>
      <c r="Z36" s="9"/>
      <c r="AA36" s="9"/>
    </row>
    <row r="37" spans="1:27" ht="12.75" x14ac:dyDescent="0.2">
      <c r="A37" s="9"/>
      <c r="B37" s="9"/>
      <c r="C37" s="9"/>
      <c r="D37" s="9"/>
      <c r="E37" s="9"/>
      <c r="F37" s="9"/>
      <c r="G37" s="9"/>
      <c r="H37" s="9"/>
      <c r="I37" s="9"/>
      <c r="J37" s="9"/>
      <c r="K37" s="9"/>
      <c r="L37" s="9"/>
      <c r="M37" s="9"/>
      <c r="N37" s="9"/>
      <c r="O37" s="9"/>
      <c r="P37" s="9"/>
      <c r="Q37" s="9"/>
      <c r="R37" s="9"/>
      <c r="S37" s="9" t="s">
        <v>226</v>
      </c>
      <c r="T37" s="9"/>
      <c r="U37" s="9"/>
      <c r="V37" s="9"/>
      <c r="W37" s="9"/>
      <c r="X37" s="9"/>
      <c r="Y37" s="9"/>
      <c r="Z37" s="9"/>
      <c r="AA37" s="9"/>
    </row>
    <row r="38" spans="1:27" ht="12.75" x14ac:dyDescent="0.2">
      <c r="A38" s="9"/>
      <c r="B38" s="9"/>
      <c r="C38" s="9"/>
      <c r="D38" s="9"/>
      <c r="E38" s="9"/>
      <c r="F38" s="9"/>
      <c r="G38" s="9"/>
      <c r="H38" s="9"/>
      <c r="I38" s="9"/>
      <c r="J38" s="9"/>
      <c r="K38" s="9"/>
      <c r="L38" s="9"/>
      <c r="M38" s="9"/>
      <c r="N38" s="9"/>
      <c r="O38" s="9"/>
      <c r="P38" s="9"/>
      <c r="Q38" s="9"/>
      <c r="R38" s="9"/>
      <c r="S38" s="9" t="s">
        <v>227</v>
      </c>
      <c r="T38" s="9"/>
      <c r="U38" s="9"/>
      <c r="V38" s="9"/>
      <c r="W38" s="9"/>
      <c r="X38" s="9"/>
      <c r="Y38" s="9"/>
      <c r="Z38" s="9"/>
      <c r="AA38" s="9"/>
    </row>
    <row r="39" spans="1:27" ht="12.75" x14ac:dyDescent="0.2">
      <c r="A39" s="9"/>
      <c r="B39" s="9"/>
      <c r="C39" s="9"/>
      <c r="D39" s="9"/>
      <c r="E39" s="9"/>
      <c r="F39" s="9"/>
      <c r="G39" s="9"/>
      <c r="H39" s="9"/>
      <c r="I39" s="9"/>
      <c r="J39" s="9"/>
      <c r="K39" s="9"/>
      <c r="L39" s="9"/>
      <c r="M39" s="9"/>
      <c r="N39" s="9"/>
      <c r="O39" s="9"/>
      <c r="P39" s="9"/>
      <c r="Q39" s="9"/>
      <c r="R39" s="9"/>
      <c r="S39" s="9" t="s">
        <v>228</v>
      </c>
      <c r="T39" s="9"/>
      <c r="U39" s="9"/>
      <c r="V39" s="9"/>
      <c r="W39" s="9"/>
      <c r="X39" s="9"/>
      <c r="Y39" s="9"/>
      <c r="Z39" s="9"/>
      <c r="AA39" s="9"/>
    </row>
    <row r="40" spans="1:27" ht="12.75" x14ac:dyDescent="0.2">
      <c r="A40" s="9"/>
      <c r="B40" s="9"/>
      <c r="C40" s="9"/>
      <c r="D40" s="9"/>
      <c r="E40" s="9"/>
      <c r="F40" s="9"/>
      <c r="G40" s="9"/>
      <c r="H40" s="9"/>
      <c r="I40" s="9"/>
      <c r="J40" s="9"/>
      <c r="K40" s="9"/>
      <c r="L40" s="9"/>
      <c r="M40" s="9"/>
      <c r="N40" s="9"/>
      <c r="O40" s="9"/>
      <c r="P40" s="9"/>
      <c r="Q40" s="9"/>
      <c r="R40" s="9"/>
      <c r="S40" s="9" t="s">
        <v>229</v>
      </c>
      <c r="T40" s="9"/>
      <c r="U40" s="9"/>
      <c r="V40" s="9"/>
      <c r="W40" s="9"/>
      <c r="X40" s="9"/>
      <c r="Y40" s="9"/>
      <c r="Z40" s="9"/>
      <c r="AA40" s="9"/>
    </row>
    <row r="41" spans="1:27" ht="12.75" x14ac:dyDescent="0.2">
      <c r="A41" s="9"/>
      <c r="B41" s="9"/>
      <c r="C41" s="9"/>
      <c r="D41" s="9"/>
      <c r="E41" s="9"/>
      <c r="F41" s="9"/>
      <c r="G41" s="9"/>
      <c r="H41" s="9"/>
      <c r="I41" s="9"/>
      <c r="J41" s="9"/>
      <c r="K41" s="9"/>
      <c r="L41" s="9"/>
      <c r="M41" s="9"/>
      <c r="N41" s="9"/>
      <c r="O41" s="9"/>
      <c r="P41" s="9"/>
      <c r="Q41" s="9"/>
      <c r="R41" s="9"/>
      <c r="S41" s="9" t="s">
        <v>230</v>
      </c>
      <c r="T41" s="9"/>
      <c r="U41" s="9"/>
      <c r="V41" s="9"/>
      <c r="W41" s="9"/>
      <c r="X41" s="9"/>
      <c r="Y41" s="9"/>
      <c r="Z41" s="9"/>
      <c r="AA41" s="9"/>
    </row>
    <row r="42" spans="1:27" ht="12.75" x14ac:dyDescent="0.2">
      <c r="A42" s="9"/>
      <c r="B42" s="9"/>
      <c r="C42" s="9"/>
      <c r="D42" s="9"/>
      <c r="E42" s="9"/>
      <c r="F42" s="9"/>
      <c r="G42" s="9"/>
      <c r="H42" s="9"/>
      <c r="I42" s="9"/>
      <c r="J42" s="9"/>
      <c r="K42" s="9"/>
      <c r="L42" s="9"/>
      <c r="M42" s="9"/>
      <c r="N42" s="9"/>
      <c r="O42" s="9"/>
      <c r="P42" s="9"/>
      <c r="Q42" s="9"/>
      <c r="R42" s="9"/>
      <c r="S42" s="9" t="s">
        <v>231</v>
      </c>
      <c r="T42" s="9"/>
      <c r="U42" s="9"/>
      <c r="V42" s="9"/>
      <c r="W42" s="9"/>
      <c r="X42" s="9"/>
      <c r="Y42" s="9"/>
      <c r="Z42" s="9"/>
      <c r="AA42" s="9"/>
    </row>
    <row r="43" spans="1:27" ht="12.75" x14ac:dyDescent="0.2">
      <c r="A43" s="9"/>
      <c r="B43" s="9"/>
      <c r="C43" s="9"/>
      <c r="D43" s="9"/>
      <c r="E43" s="9"/>
      <c r="F43" s="9"/>
      <c r="G43" s="9"/>
      <c r="H43" s="9"/>
      <c r="I43" s="9"/>
      <c r="J43" s="9"/>
      <c r="K43" s="9"/>
      <c r="L43" s="9"/>
      <c r="M43" s="9"/>
      <c r="N43" s="9"/>
      <c r="O43" s="9"/>
      <c r="P43" s="9"/>
      <c r="Q43" s="9"/>
      <c r="R43" s="9"/>
      <c r="S43" s="9" t="s">
        <v>232</v>
      </c>
      <c r="T43" s="9"/>
      <c r="U43" s="9"/>
      <c r="V43" s="9"/>
      <c r="W43" s="9"/>
      <c r="X43" s="9"/>
      <c r="Y43" s="9"/>
      <c r="Z43" s="9"/>
      <c r="AA43" s="9"/>
    </row>
    <row r="44" spans="1:27" ht="12.75" x14ac:dyDescent="0.2">
      <c r="A44" s="9"/>
      <c r="B44" s="9"/>
      <c r="C44" s="9"/>
      <c r="D44" s="9"/>
      <c r="E44" s="9"/>
      <c r="F44" s="9"/>
      <c r="G44" s="9"/>
      <c r="H44" s="9"/>
      <c r="I44" s="9"/>
      <c r="J44" s="9"/>
      <c r="K44" s="9"/>
      <c r="L44" s="9"/>
      <c r="M44" s="9"/>
      <c r="N44" s="9"/>
      <c r="O44" s="9"/>
      <c r="P44" s="9"/>
      <c r="Q44" s="9"/>
      <c r="R44" s="9"/>
      <c r="S44" s="9" t="s">
        <v>233</v>
      </c>
      <c r="T44" s="9"/>
      <c r="U44" s="9"/>
      <c r="V44" s="9"/>
      <c r="W44" s="9"/>
      <c r="X44" s="9"/>
      <c r="Y44" s="9"/>
      <c r="Z44" s="9"/>
      <c r="AA44" s="9"/>
    </row>
    <row r="45" spans="1:27" ht="12.75"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row>
    <row r="46" spans="1:27" ht="12.75" x14ac:dyDescent="0.2">
      <c r="A46" s="9"/>
      <c r="B46" s="9"/>
      <c r="C46" s="9"/>
      <c r="D46" s="9"/>
      <c r="E46" s="9"/>
      <c r="F46" s="9"/>
      <c r="G46" s="9"/>
      <c r="H46" s="9"/>
      <c r="I46" s="9"/>
      <c r="J46" s="9"/>
      <c r="K46" s="9"/>
      <c r="L46" s="9"/>
      <c r="M46" s="9"/>
      <c r="N46" s="9"/>
      <c r="O46" s="9"/>
      <c r="P46" s="9"/>
      <c r="Q46" s="9"/>
      <c r="R46" s="9"/>
      <c r="S46" s="9" t="s">
        <v>234</v>
      </c>
      <c r="T46" s="9"/>
      <c r="U46" s="9"/>
      <c r="V46" s="9"/>
      <c r="W46" s="9"/>
      <c r="X46" s="9"/>
      <c r="Y46" s="9"/>
      <c r="Z46" s="9"/>
      <c r="AA46" s="9"/>
    </row>
    <row r="47" spans="1:27" ht="12.75" x14ac:dyDescent="0.2">
      <c r="A47" s="9"/>
      <c r="B47" s="9"/>
      <c r="C47" s="9"/>
      <c r="D47" s="9"/>
      <c r="E47" s="9"/>
      <c r="F47" s="9"/>
      <c r="G47" s="9"/>
      <c r="H47" s="9"/>
      <c r="I47" s="9"/>
      <c r="J47" s="9"/>
      <c r="K47" s="9"/>
      <c r="L47" s="9"/>
      <c r="M47" s="9"/>
      <c r="N47" s="9"/>
      <c r="O47" s="9"/>
      <c r="P47" s="9"/>
      <c r="Q47" s="9"/>
      <c r="R47" s="9"/>
      <c r="S47" s="9" t="s">
        <v>235</v>
      </c>
      <c r="T47" s="9"/>
      <c r="U47" s="9"/>
      <c r="V47" s="9"/>
      <c r="W47" s="9"/>
      <c r="X47" s="9"/>
      <c r="Y47" s="9"/>
      <c r="Z47" s="9"/>
      <c r="AA47" s="9"/>
    </row>
    <row r="48" spans="1:27" ht="12.75"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2.75" x14ac:dyDescent="0.2">
      <c r="A49" s="9"/>
      <c r="B49" s="9"/>
      <c r="C49" s="9"/>
      <c r="D49" s="9"/>
      <c r="E49" s="9"/>
      <c r="F49" s="9"/>
      <c r="G49" s="9"/>
      <c r="H49" s="9"/>
      <c r="I49" s="9"/>
      <c r="J49" s="9"/>
      <c r="K49" s="9"/>
      <c r="L49" s="9"/>
      <c r="M49" s="9"/>
      <c r="N49" s="9"/>
      <c r="O49" s="9"/>
      <c r="P49" s="9"/>
      <c r="Q49" s="9"/>
      <c r="R49" s="9"/>
      <c r="S49" s="9" t="s">
        <v>236</v>
      </c>
      <c r="T49" s="9"/>
      <c r="U49" s="9"/>
      <c r="V49" s="9"/>
      <c r="W49" s="9"/>
      <c r="X49" s="9"/>
      <c r="Y49" s="9"/>
      <c r="Z49" s="9"/>
      <c r="AA49" s="9"/>
    </row>
    <row r="50" spans="1:27" ht="12.75" x14ac:dyDescent="0.2">
      <c r="A50" s="9"/>
      <c r="B50" s="9"/>
      <c r="C50" s="9"/>
      <c r="D50" s="9"/>
      <c r="E50" s="9"/>
      <c r="F50" s="9"/>
      <c r="G50" s="9"/>
      <c r="H50" s="9"/>
      <c r="I50" s="9"/>
      <c r="J50" s="9"/>
      <c r="K50" s="9"/>
      <c r="L50" s="9"/>
      <c r="M50" s="9"/>
      <c r="N50" s="9"/>
      <c r="O50" s="9"/>
      <c r="P50" s="9"/>
      <c r="Q50" s="9"/>
      <c r="R50" s="9"/>
      <c r="S50" s="9"/>
      <c r="T50" s="9"/>
      <c r="U50" s="9"/>
      <c r="V50" s="9"/>
      <c r="W50" s="9"/>
      <c r="X50" s="9"/>
      <c r="Y50" s="9"/>
      <c r="Z50" s="9"/>
      <c r="AA50" s="9"/>
    </row>
    <row r="51" spans="1:27" ht="12.75"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row>
    <row r="52" spans="1:27" ht="12.75"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row>
    <row r="53" spans="1:27" ht="12.75" x14ac:dyDescent="0.2">
      <c r="A53" s="9"/>
      <c r="B53" s="9"/>
      <c r="C53" s="9"/>
      <c r="D53" s="9"/>
      <c r="E53" s="9"/>
      <c r="F53" s="9"/>
      <c r="G53" s="9"/>
      <c r="H53" s="9"/>
      <c r="I53" s="9"/>
      <c r="J53" s="9"/>
      <c r="K53" s="9"/>
      <c r="L53" s="9"/>
      <c r="M53" s="9"/>
      <c r="N53" s="9"/>
      <c r="O53" s="9"/>
      <c r="P53" s="9"/>
      <c r="Q53" s="9"/>
      <c r="R53" s="9"/>
      <c r="S53" s="9"/>
      <c r="T53" s="9"/>
      <c r="U53" s="9"/>
      <c r="V53" s="9"/>
      <c r="W53" s="9"/>
      <c r="X53" s="9"/>
      <c r="Y53" s="9"/>
      <c r="Z53" s="9"/>
      <c r="AA53" s="9"/>
    </row>
    <row r="54" spans="1:27" ht="12.75"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row>
    <row r="55" spans="1:27" ht="12.75"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row>
    <row r="56" spans="1:27" ht="12.75" x14ac:dyDescent="0.2">
      <c r="A56" s="9"/>
      <c r="B56" s="9"/>
      <c r="C56" s="9"/>
      <c r="D56" s="9"/>
      <c r="E56" s="9"/>
      <c r="F56" s="9"/>
      <c r="G56" s="9"/>
      <c r="H56" s="9"/>
      <c r="I56" s="9"/>
      <c r="J56" s="9"/>
      <c r="K56" s="9"/>
      <c r="L56" s="9"/>
      <c r="M56" s="9"/>
      <c r="N56" s="9"/>
      <c r="O56" s="9"/>
      <c r="P56" s="9"/>
      <c r="Q56" s="9"/>
      <c r="R56" s="9"/>
      <c r="S56" s="9"/>
      <c r="T56" s="9"/>
      <c r="U56" s="9"/>
      <c r="V56" s="9"/>
      <c r="W56" s="9"/>
      <c r="X56" s="9"/>
      <c r="Y56" s="9"/>
      <c r="Z56" s="9"/>
      <c r="AA56" s="9"/>
    </row>
    <row r="57" spans="1:27" ht="12.75"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row>
    <row r="58" spans="1:27" ht="12.75" x14ac:dyDescent="0.2">
      <c r="A58" s="9"/>
      <c r="B58" s="9"/>
      <c r="C58" s="9"/>
      <c r="D58" s="9"/>
      <c r="E58" s="9"/>
      <c r="F58" s="9"/>
      <c r="G58" s="9"/>
      <c r="H58" s="9"/>
      <c r="I58" s="9"/>
      <c r="J58" s="9"/>
      <c r="K58" s="9"/>
      <c r="L58" s="9"/>
      <c r="M58" s="9"/>
      <c r="N58" s="9"/>
      <c r="O58" s="9"/>
      <c r="P58" s="9"/>
      <c r="Q58" s="9"/>
      <c r="R58" s="9"/>
      <c r="S58" s="9"/>
      <c r="T58" s="9"/>
      <c r="U58" s="9"/>
      <c r="V58" s="9"/>
      <c r="W58" s="9"/>
      <c r="X58" s="9"/>
      <c r="Y58" s="9"/>
      <c r="Z58" s="9"/>
      <c r="AA58" s="9"/>
    </row>
    <row r="59" spans="1:27" ht="12.75" x14ac:dyDescent="0.2">
      <c r="A59" s="9"/>
      <c r="B59" s="9"/>
      <c r="C59" s="9"/>
      <c r="D59" s="9"/>
      <c r="E59" s="9"/>
      <c r="F59" s="9"/>
      <c r="G59" s="9"/>
      <c r="H59" s="9"/>
      <c r="I59" s="9"/>
      <c r="J59" s="9"/>
      <c r="K59" s="9"/>
      <c r="L59" s="9"/>
      <c r="M59" s="9"/>
      <c r="N59" s="9"/>
      <c r="O59" s="9"/>
      <c r="P59" s="9"/>
      <c r="Q59" s="9"/>
      <c r="R59" s="9"/>
      <c r="S59" s="9"/>
      <c r="T59" s="9"/>
      <c r="U59" s="9"/>
      <c r="V59" s="9"/>
      <c r="W59" s="9"/>
      <c r="X59" s="9"/>
      <c r="Y59" s="9"/>
      <c r="Z59" s="9"/>
      <c r="AA59" s="9"/>
    </row>
    <row r="60" spans="1:27" ht="12.75" x14ac:dyDescent="0.2">
      <c r="A60" s="9"/>
      <c r="B60" s="9"/>
      <c r="C60" s="9"/>
      <c r="D60" s="9"/>
      <c r="E60" s="9"/>
      <c r="F60" s="9"/>
      <c r="G60" s="9"/>
      <c r="H60" s="9"/>
      <c r="I60" s="9"/>
      <c r="J60" s="9"/>
      <c r="K60" s="9"/>
      <c r="L60" s="9"/>
      <c r="M60" s="9"/>
      <c r="N60" s="9"/>
      <c r="O60" s="9"/>
      <c r="P60" s="9"/>
      <c r="Q60" s="9"/>
      <c r="R60" s="9"/>
      <c r="S60" s="9"/>
      <c r="T60" s="9"/>
      <c r="U60" s="9"/>
      <c r="V60" s="9"/>
      <c r="W60" s="9"/>
      <c r="X60" s="9"/>
      <c r="Y60" s="9"/>
      <c r="Z60" s="9"/>
      <c r="AA60" s="9"/>
    </row>
    <row r="61" spans="1:27" ht="12.75" x14ac:dyDescent="0.2">
      <c r="A61" s="9"/>
      <c r="B61" s="9"/>
      <c r="C61" s="9"/>
      <c r="D61" s="9"/>
      <c r="E61" s="9"/>
      <c r="F61" s="9"/>
      <c r="G61" s="9"/>
      <c r="H61" s="9"/>
      <c r="I61" s="9"/>
      <c r="J61" s="9"/>
      <c r="K61" s="9"/>
      <c r="L61" s="9"/>
      <c r="M61" s="9"/>
      <c r="N61" s="9"/>
      <c r="O61" s="9"/>
      <c r="P61" s="9"/>
      <c r="Q61" s="9"/>
      <c r="R61" s="9"/>
      <c r="S61" s="9"/>
      <c r="T61" s="9"/>
      <c r="U61" s="9"/>
      <c r="V61" s="9"/>
      <c r="W61" s="9"/>
      <c r="X61" s="9"/>
      <c r="Y61" s="9"/>
      <c r="Z61" s="9"/>
      <c r="AA61" s="9"/>
    </row>
    <row r="62" spans="1:27" ht="12.75" x14ac:dyDescent="0.2">
      <c r="A62" s="9"/>
      <c r="B62" s="9"/>
      <c r="C62" s="9"/>
      <c r="D62" s="9"/>
      <c r="E62" s="9"/>
      <c r="F62" s="9"/>
      <c r="G62" s="9"/>
      <c r="H62" s="9"/>
      <c r="I62" s="9"/>
      <c r="J62" s="9"/>
      <c r="K62" s="9"/>
      <c r="L62" s="9"/>
      <c r="M62" s="9"/>
      <c r="N62" s="9"/>
      <c r="O62" s="9"/>
      <c r="P62" s="9"/>
      <c r="Q62" s="9"/>
      <c r="R62" s="9"/>
      <c r="S62" s="9"/>
      <c r="T62" s="9"/>
      <c r="U62" s="9"/>
      <c r="V62" s="9"/>
      <c r="W62" s="9"/>
      <c r="X62" s="9"/>
      <c r="Y62" s="9"/>
      <c r="Z62" s="9"/>
      <c r="AA62" s="9"/>
    </row>
    <row r="63" spans="1:27" ht="12.75"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row>
    <row r="64" spans="1:27" ht="12.75" x14ac:dyDescent="0.2">
      <c r="A64" s="9"/>
      <c r="B64" s="9"/>
      <c r="C64" s="9"/>
      <c r="D64" s="9"/>
      <c r="E64" s="9"/>
      <c r="F64" s="9"/>
      <c r="G64" s="9"/>
      <c r="H64" s="9"/>
      <c r="I64" s="9"/>
      <c r="J64" s="9"/>
      <c r="K64" s="9"/>
      <c r="L64" s="9"/>
      <c r="M64" s="9"/>
      <c r="N64" s="9"/>
      <c r="O64" s="9"/>
      <c r="P64" s="9"/>
      <c r="Q64" s="9"/>
      <c r="R64" s="9"/>
      <c r="S64" s="9"/>
      <c r="T64" s="9"/>
      <c r="U64" s="9"/>
      <c r="V64" s="9"/>
      <c r="W64" s="9"/>
      <c r="X64" s="9"/>
      <c r="Y64" s="9"/>
      <c r="Z64" s="9"/>
      <c r="AA64" s="9"/>
    </row>
    <row r="65" spans="1:27" ht="12.75" x14ac:dyDescent="0.2">
      <c r="A65" s="9"/>
      <c r="B65" s="9"/>
      <c r="C65" s="9"/>
      <c r="D65" s="9"/>
      <c r="E65" s="9"/>
      <c r="F65" s="9"/>
      <c r="G65" s="9"/>
      <c r="H65" s="9"/>
      <c r="I65" s="9"/>
      <c r="J65" s="9"/>
      <c r="K65" s="9"/>
      <c r="L65" s="9"/>
      <c r="M65" s="9"/>
      <c r="N65" s="9"/>
      <c r="O65" s="9"/>
      <c r="P65" s="9"/>
      <c r="Q65" s="9"/>
      <c r="R65" s="9"/>
      <c r="S65" s="9"/>
      <c r="T65" s="9"/>
      <c r="U65" s="9"/>
      <c r="V65" s="9"/>
      <c r="W65" s="9"/>
      <c r="X65" s="9"/>
      <c r="Y65" s="9"/>
      <c r="Z65" s="9"/>
      <c r="AA65" s="9"/>
    </row>
    <row r="66" spans="1:27" ht="12.75" x14ac:dyDescent="0.2">
      <c r="A66" s="9"/>
      <c r="B66" s="9"/>
      <c r="C66" s="9"/>
      <c r="D66" s="9"/>
      <c r="E66" s="9"/>
      <c r="F66" s="9"/>
      <c r="G66" s="9"/>
      <c r="H66" s="9"/>
      <c r="I66" s="9"/>
      <c r="J66" s="9"/>
      <c r="K66" s="9"/>
      <c r="L66" s="9"/>
      <c r="M66" s="9"/>
      <c r="N66" s="9"/>
      <c r="O66" s="9"/>
      <c r="P66" s="9"/>
      <c r="Q66" s="9"/>
      <c r="R66" s="9"/>
      <c r="S66" s="9"/>
      <c r="T66" s="9"/>
      <c r="U66" s="9"/>
      <c r="V66" s="9"/>
      <c r="W66" s="9"/>
      <c r="X66" s="9"/>
      <c r="Y66" s="9"/>
      <c r="Z66" s="9"/>
      <c r="AA66" s="9"/>
    </row>
    <row r="67" spans="1:27" ht="12.75" x14ac:dyDescent="0.2">
      <c r="A67" s="9"/>
      <c r="B67" s="9"/>
      <c r="C67" s="9"/>
      <c r="D67" s="9"/>
      <c r="E67" s="9"/>
      <c r="F67" s="9"/>
      <c r="G67" s="9"/>
      <c r="H67" s="9"/>
      <c r="I67" s="9"/>
      <c r="J67" s="9"/>
      <c r="K67" s="9"/>
      <c r="L67" s="9"/>
      <c r="M67" s="9"/>
      <c r="N67" s="9"/>
      <c r="O67" s="9"/>
      <c r="P67" s="9"/>
      <c r="Q67" s="9"/>
      <c r="R67" s="9"/>
      <c r="S67" s="9"/>
      <c r="T67" s="9"/>
      <c r="U67" s="9"/>
      <c r="V67" s="9"/>
      <c r="W67" s="9"/>
      <c r="X67" s="9"/>
      <c r="Y67" s="9"/>
      <c r="Z67" s="9"/>
      <c r="AA67" s="9"/>
    </row>
    <row r="68" spans="1:27" ht="12.75" x14ac:dyDescent="0.2">
      <c r="A68" s="9"/>
      <c r="B68" s="9"/>
      <c r="C68" s="9"/>
      <c r="D68" s="9"/>
      <c r="E68" s="9"/>
      <c r="F68" s="9"/>
      <c r="G68" s="9"/>
      <c r="H68" s="9"/>
      <c r="I68" s="9"/>
      <c r="J68" s="9"/>
      <c r="K68" s="9"/>
      <c r="L68" s="9"/>
      <c r="M68" s="9"/>
      <c r="N68" s="9"/>
      <c r="O68" s="9"/>
      <c r="P68" s="9"/>
      <c r="Q68" s="9"/>
      <c r="R68" s="9"/>
      <c r="S68" s="9"/>
      <c r="T68" s="9"/>
      <c r="U68" s="9"/>
      <c r="V68" s="9"/>
      <c r="W68" s="9"/>
      <c r="X68" s="9"/>
      <c r="Y68" s="9"/>
      <c r="Z68" s="9"/>
      <c r="AA68" s="9"/>
    </row>
    <row r="69" spans="1:27" ht="12.75" x14ac:dyDescent="0.2">
      <c r="A69" s="9"/>
      <c r="B69" s="9"/>
      <c r="C69" s="9"/>
      <c r="D69" s="9"/>
      <c r="E69" s="9"/>
      <c r="F69" s="9"/>
      <c r="G69" s="9"/>
      <c r="H69" s="9"/>
      <c r="I69" s="9"/>
      <c r="J69" s="9"/>
      <c r="K69" s="9"/>
      <c r="L69" s="9"/>
      <c r="M69" s="9"/>
      <c r="N69" s="9"/>
      <c r="O69" s="9"/>
      <c r="P69" s="9"/>
      <c r="Q69" s="9"/>
      <c r="R69" s="9"/>
      <c r="S69" s="9"/>
      <c r="T69" s="9"/>
      <c r="U69" s="9"/>
      <c r="V69" s="9"/>
      <c r="W69" s="9"/>
      <c r="X69" s="9"/>
      <c r="Y69" s="9"/>
      <c r="Z69" s="9"/>
      <c r="AA69" s="9"/>
    </row>
    <row r="70" spans="1:27" ht="12.75" x14ac:dyDescent="0.2">
      <c r="A70" s="9"/>
      <c r="B70" s="9"/>
      <c r="C70" s="9"/>
      <c r="D70" s="9"/>
      <c r="E70" s="9"/>
      <c r="F70" s="9"/>
      <c r="G70" s="9"/>
      <c r="H70" s="9"/>
      <c r="I70" s="9"/>
      <c r="J70" s="9"/>
      <c r="K70" s="9"/>
      <c r="L70" s="9"/>
      <c r="M70" s="9"/>
      <c r="N70" s="9"/>
      <c r="O70" s="9"/>
      <c r="P70" s="9"/>
      <c r="Q70" s="9"/>
      <c r="R70" s="9"/>
      <c r="S70" s="9"/>
      <c r="T70" s="9"/>
      <c r="U70" s="9"/>
      <c r="V70" s="9"/>
      <c r="W70" s="9"/>
      <c r="X70" s="9"/>
      <c r="Y70" s="9"/>
      <c r="Z70" s="9"/>
      <c r="AA70" s="9"/>
    </row>
    <row r="71" spans="1:27" ht="12.75"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row>
    <row r="72" spans="1:27" ht="12.75" x14ac:dyDescent="0.2">
      <c r="A72" s="9"/>
      <c r="B72" s="9"/>
      <c r="C72" s="9"/>
      <c r="D72" s="9"/>
      <c r="E72" s="9"/>
      <c r="F72" s="9"/>
      <c r="G72" s="9"/>
      <c r="H72" s="9"/>
      <c r="I72" s="9"/>
      <c r="J72" s="9"/>
      <c r="K72" s="9"/>
      <c r="L72" s="9"/>
      <c r="M72" s="9"/>
      <c r="N72" s="9"/>
      <c r="O72" s="9"/>
      <c r="P72" s="9"/>
      <c r="Q72" s="9"/>
      <c r="R72" s="9"/>
      <c r="S72" s="9"/>
      <c r="T72" s="9"/>
      <c r="U72" s="9"/>
      <c r="V72" s="9"/>
      <c r="W72" s="9"/>
      <c r="X72" s="9"/>
      <c r="Y72" s="9"/>
      <c r="Z72" s="9"/>
      <c r="AA72" s="9"/>
    </row>
    <row r="73" spans="1:27" ht="12.75" x14ac:dyDescent="0.2">
      <c r="A73" s="9"/>
      <c r="B73" s="9"/>
      <c r="C73" s="9"/>
      <c r="D73" s="9"/>
      <c r="E73" s="9"/>
      <c r="F73" s="9"/>
      <c r="G73" s="9"/>
      <c r="H73" s="9"/>
      <c r="I73" s="9"/>
      <c r="J73" s="9"/>
      <c r="K73" s="9"/>
      <c r="L73" s="9"/>
      <c r="M73" s="9"/>
      <c r="N73" s="9"/>
      <c r="O73" s="9"/>
      <c r="P73" s="9"/>
      <c r="Q73" s="9"/>
      <c r="R73" s="9"/>
      <c r="S73" s="9"/>
      <c r="T73" s="9"/>
      <c r="U73" s="9"/>
      <c r="V73" s="9"/>
      <c r="W73" s="9"/>
      <c r="X73" s="9"/>
      <c r="Y73" s="9"/>
      <c r="Z73" s="9"/>
      <c r="AA73" s="9"/>
    </row>
    <row r="74" spans="1:27" ht="12.75" x14ac:dyDescent="0.2">
      <c r="A74" s="9"/>
      <c r="B74" s="9"/>
      <c r="C74" s="9"/>
      <c r="D74" s="9"/>
      <c r="E74" s="9"/>
      <c r="F74" s="9"/>
      <c r="G74" s="9"/>
      <c r="H74" s="9"/>
      <c r="I74" s="9"/>
      <c r="J74" s="9"/>
      <c r="K74" s="9"/>
      <c r="L74" s="9"/>
      <c r="M74" s="9"/>
      <c r="N74" s="9"/>
      <c r="O74" s="9"/>
      <c r="P74" s="9"/>
      <c r="Q74" s="9"/>
      <c r="R74" s="9"/>
      <c r="S74" s="9"/>
      <c r="T74" s="9"/>
      <c r="U74" s="9"/>
      <c r="V74" s="9"/>
      <c r="W74" s="9"/>
      <c r="X74" s="9"/>
      <c r="Y74" s="9"/>
      <c r="Z74" s="9"/>
      <c r="AA74" s="9"/>
    </row>
    <row r="75" spans="1:27" ht="12.75" x14ac:dyDescent="0.2">
      <c r="A75" s="9"/>
      <c r="B75" s="9"/>
      <c r="C75" s="9"/>
      <c r="D75" s="9"/>
      <c r="E75" s="9"/>
      <c r="F75" s="9"/>
      <c r="G75" s="9"/>
      <c r="H75" s="9"/>
      <c r="I75" s="9"/>
      <c r="J75" s="9"/>
      <c r="K75" s="9"/>
      <c r="L75" s="9"/>
      <c r="M75" s="9"/>
      <c r="N75" s="9"/>
      <c r="O75" s="9"/>
      <c r="P75" s="9"/>
      <c r="Q75" s="9"/>
      <c r="R75" s="9"/>
      <c r="S75" s="9"/>
      <c r="T75" s="9"/>
      <c r="U75" s="9"/>
      <c r="V75" s="9"/>
      <c r="W75" s="9"/>
      <c r="X75" s="9"/>
      <c r="Y75" s="9"/>
      <c r="Z75" s="9"/>
      <c r="AA75" s="9"/>
    </row>
    <row r="76" spans="1:27" ht="12.75"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row>
    <row r="77" spans="1:27" ht="12.75" x14ac:dyDescent="0.2">
      <c r="A77" s="9"/>
      <c r="B77" s="9"/>
      <c r="C77" s="9"/>
      <c r="D77" s="9"/>
      <c r="E77" s="9"/>
      <c r="F77" s="9"/>
      <c r="G77" s="9"/>
      <c r="H77" s="9"/>
      <c r="I77" s="9"/>
      <c r="J77" s="9"/>
      <c r="K77" s="9"/>
      <c r="L77" s="9"/>
      <c r="M77" s="9"/>
      <c r="N77" s="9"/>
      <c r="O77" s="9"/>
      <c r="P77" s="9"/>
      <c r="Q77" s="9"/>
      <c r="R77" s="9"/>
      <c r="S77" s="9"/>
      <c r="T77" s="9"/>
      <c r="U77" s="9"/>
      <c r="V77" s="9"/>
      <c r="W77" s="9"/>
      <c r="X77" s="9"/>
      <c r="Y77" s="9"/>
      <c r="Z77" s="9"/>
      <c r="AA77" s="9"/>
    </row>
    <row r="78" spans="1:27" ht="12.75" x14ac:dyDescent="0.2">
      <c r="A78" s="9"/>
      <c r="B78" s="9"/>
      <c r="C78" s="9"/>
      <c r="D78" s="9"/>
      <c r="E78" s="9"/>
      <c r="F78" s="9"/>
      <c r="G78" s="9"/>
      <c r="H78" s="9"/>
      <c r="I78" s="9"/>
      <c r="J78" s="9"/>
      <c r="K78" s="9"/>
      <c r="L78" s="9"/>
      <c r="M78" s="9"/>
      <c r="N78" s="9"/>
      <c r="O78" s="9"/>
      <c r="P78" s="9"/>
      <c r="Q78" s="9"/>
      <c r="R78" s="9"/>
      <c r="S78" s="9"/>
      <c r="T78" s="9"/>
      <c r="U78" s="9"/>
      <c r="V78" s="9"/>
      <c r="W78" s="9"/>
      <c r="X78" s="9"/>
      <c r="Y78" s="9"/>
      <c r="Z78" s="9"/>
      <c r="AA78" s="9"/>
    </row>
    <row r="79" spans="1:27" ht="12.75" x14ac:dyDescent="0.2">
      <c r="A79" s="9"/>
      <c r="B79" s="9"/>
      <c r="C79" s="9"/>
      <c r="D79" s="9"/>
      <c r="E79" s="9"/>
      <c r="F79" s="9"/>
      <c r="G79" s="9"/>
      <c r="H79" s="9"/>
      <c r="I79" s="9"/>
      <c r="J79" s="9"/>
      <c r="K79" s="9"/>
      <c r="L79" s="9"/>
      <c r="M79" s="9"/>
      <c r="N79" s="9"/>
      <c r="O79" s="9"/>
      <c r="P79" s="9"/>
      <c r="Q79" s="9"/>
      <c r="R79" s="9"/>
      <c r="S79" s="9"/>
      <c r="T79" s="9"/>
      <c r="U79" s="9"/>
      <c r="V79" s="9"/>
      <c r="W79" s="9"/>
      <c r="X79" s="9"/>
      <c r="Y79" s="9"/>
      <c r="Z79" s="9"/>
      <c r="AA79" s="9"/>
    </row>
    <row r="80" spans="1:27" ht="12.75" x14ac:dyDescent="0.2">
      <c r="A80" s="9"/>
      <c r="B80" s="9"/>
      <c r="C80" s="9"/>
      <c r="D80" s="9"/>
      <c r="E80" s="9"/>
      <c r="F80" s="9"/>
      <c r="G80" s="9"/>
      <c r="H80" s="9"/>
      <c r="I80" s="9"/>
      <c r="J80" s="9"/>
      <c r="K80" s="9"/>
      <c r="L80" s="9"/>
      <c r="M80" s="9"/>
      <c r="N80" s="9"/>
      <c r="O80" s="9"/>
      <c r="P80" s="9"/>
      <c r="Q80" s="9"/>
      <c r="R80" s="9"/>
      <c r="S80" s="9"/>
      <c r="T80" s="9"/>
      <c r="U80" s="9"/>
      <c r="V80" s="9"/>
      <c r="W80" s="9"/>
      <c r="X80" s="9"/>
      <c r="Y80" s="9"/>
      <c r="Z80" s="9"/>
      <c r="AA80" s="9"/>
    </row>
    <row r="81" spans="1:27" ht="12.75"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9"/>
    </row>
    <row r="82" spans="1:27" ht="12.75" x14ac:dyDescent="0.2">
      <c r="A82" s="9"/>
      <c r="B82" s="9"/>
      <c r="C82" s="9"/>
      <c r="D82" s="9"/>
      <c r="E82" s="9"/>
      <c r="F82" s="9"/>
      <c r="G82" s="9"/>
      <c r="H82" s="9"/>
      <c r="I82" s="9"/>
      <c r="J82" s="9"/>
      <c r="K82" s="9"/>
      <c r="L82" s="9"/>
      <c r="M82" s="9"/>
      <c r="N82" s="9"/>
      <c r="O82" s="9"/>
      <c r="P82" s="9"/>
      <c r="Q82" s="9"/>
      <c r="R82" s="9"/>
      <c r="S82" s="9"/>
      <c r="T82" s="9"/>
      <c r="U82" s="9"/>
      <c r="V82" s="9"/>
      <c r="W82" s="9"/>
      <c r="X82" s="9"/>
      <c r="Y82" s="9"/>
      <c r="Z82" s="9"/>
      <c r="AA82" s="9"/>
    </row>
    <row r="83" spans="1:27" ht="12.75" x14ac:dyDescent="0.2">
      <c r="A83" s="9"/>
      <c r="B83" s="9"/>
      <c r="C83" s="9"/>
      <c r="D83" s="9"/>
      <c r="E83" s="9"/>
      <c r="F83" s="9"/>
      <c r="G83" s="9"/>
      <c r="H83" s="9"/>
      <c r="I83" s="9"/>
      <c r="J83" s="9"/>
      <c r="K83" s="9"/>
      <c r="L83" s="9"/>
      <c r="M83" s="9"/>
      <c r="N83" s="9"/>
      <c r="O83" s="9"/>
      <c r="P83" s="9"/>
      <c r="Q83" s="9"/>
      <c r="R83" s="9"/>
      <c r="S83" s="9"/>
      <c r="T83" s="9"/>
      <c r="U83" s="9"/>
      <c r="V83" s="9"/>
      <c r="W83" s="9"/>
      <c r="X83" s="9"/>
      <c r="Y83" s="9"/>
      <c r="Z83" s="9"/>
      <c r="AA83" s="9"/>
    </row>
    <row r="84" spans="1:27" ht="12.75"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A84" s="9"/>
    </row>
    <row r="85" spans="1:27" ht="12.75" x14ac:dyDescent="0.2">
      <c r="A85" s="9"/>
      <c r="B85" s="9"/>
      <c r="C85" s="9"/>
      <c r="D85" s="9"/>
      <c r="E85" s="9"/>
      <c r="F85" s="9"/>
      <c r="G85" s="9"/>
      <c r="H85" s="9"/>
      <c r="I85" s="9"/>
      <c r="J85" s="9"/>
      <c r="K85" s="9"/>
      <c r="L85" s="9"/>
      <c r="M85" s="9"/>
      <c r="N85" s="9"/>
      <c r="O85" s="9"/>
      <c r="P85" s="9"/>
      <c r="Q85" s="9"/>
      <c r="R85" s="9"/>
      <c r="S85" s="9"/>
      <c r="T85" s="9"/>
      <c r="U85" s="9"/>
      <c r="V85" s="9"/>
      <c r="W85" s="9"/>
      <c r="X85" s="9"/>
      <c r="Y85" s="9"/>
      <c r="Z85" s="9"/>
      <c r="AA85" s="9"/>
    </row>
    <row r="86" spans="1:27" ht="12.75" x14ac:dyDescent="0.2">
      <c r="A86" s="9"/>
      <c r="B86" s="9"/>
      <c r="C86" s="9"/>
      <c r="D86" s="9"/>
      <c r="E86" s="9"/>
      <c r="F86" s="9"/>
      <c r="G86" s="9"/>
      <c r="H86" s="9"/>
      <c r="I86" s="9"/>
      <c r="J86" s="9"/>
      <c r="K86" s="9"/>
      <c r="L86" s="9"/>
      <c r="M86" s="9"/>
      <c r="N86" s="9"/>
      <c r="O86" s="9"/>
      <c r="P86" s="9"/>
      <c r="Q86" s="9"/>
      <c r="R86" s="9"/>
      <c r="S86" s="9"/>
      <c r="T86" s="9"/>
      <c r="U86" s="9"/>
      <c r="V86" s="9"/>
      <c r="W86" s="9"/>
      <c r="X86" s="9"/>
      <c r="Y86" s="9"/>
      <c r="Z86" s="9"/>
      <c r="AA86" s="9"/>
    </row>
    <row r="87" spans="1:27" ht="12.75" x14ac:dyDescent="0.2">
      <c r="A87" s="9"/>
      <c r="B87" s="9"/>
      <c r="C87" s="9"/>
      <c r="D87" s="9"/>
      <c r="E87" s="9"/>
      <c r="F87" s="9"/>
      <c r="G87" s="9"/>
      <c r="H87" s="9"/>
      <c r="I87" s="9"/>
      <c r="J87" s="9"/>
      <c r="K87" s="9"/>
      <c r="L87" s="9"/>
      <c r="M87" s="9"/>
      <c r="N87" s="9"/>
      <c r="O87" s="9"/>
      <c r="P87" s="9"/>
      <c r="Q87" s="9"/>
      <c r="R87" s="9"/>
      <c r="V87" s="9"/>
      <c r="W87" s="9"/>
      <c r="X87" s="9"/>
      <c r="Y87" s="9"/>
      <c r="Z87" s="9"/>
      <c r="AA87" s="9"/>
    </row>
    <row r="88" spans="1:27" ht="12.75" x14ac:dyDescent="0.2">
      <c r="A88" s="9"/>
      <c r="B88" s="9"/>
      <c r="C88" s="9"/>
      <c r="D88" s="9"/>
      <c r="E88" s="9"/>
      <c r="F88" s="9"/>
      <c r="G88" s="9"/>
      <c r="H88" s="9"/>
      <c r="I88" s="9"/>
      <c r="J88" s="9"/>
      <c r="K88" s="9"/>
      <c r="L88" s="9"/>
      <c r="M88" s="9"/>
      <c r="N88" s="9"/>
      <c r="O88" s="9"/>
      <c r="P88" s="9"/>
      <c r="Q88" s="9"/>
      <c r="R88" s="9"/>
      <c r="V88" s="9"/>
      <c r="W88" s="9"/>
      <c r="X88" s="9"/>
      <c r="Y88" s="9"/>
      <c r="Z88" s="9"/>
      <c r="AA88" s="9"/>
    </row>
    <row r="89" spans="1:27" ht="12.75" x14ac:dyDescent="0.2">
      <c r="A89" s="9"/>
      <c r="B89" s="9"/>
      <c r="C89" s="9"/>
      <c r="D89" s="9"/>
      <c r="E89" s="9"/>
      <c r="F89" s="9"/>
      <c r="G89" s="9"/>
      <c r="H89" s="9"/>
      <c r="I89" s="9"/>
      <c r="J89" s="9"/>
      <c r="K89" s="9"/>
      <c r="L89" s="9"/>
      <c r="M89" s="9"/>
      <c r="N89" s="9"/>
      <c r="O89" s="9"/>
      <c r="P89" s="9"/>
      <c r="Q89" s="9"/>
      <c r="R89" s="9"/>
      <c r="V89" s="9"/>
      <c r="W89" s="9"/>
      <c r="X89" s="9"/>
      <c r="Y89" s="9"/>
      <c r="Z89" s="9"/>
      <c r="AA89" s="9"/>
    </row>
    <row r="90" spans="1:27" ht="12.75"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row>
    <row r="91" spans="1:27" ht="12.75"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9"/>
    </row>
    <row r="92" spans="1:27" ht="12.75"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A92" s="9"/>
    </row>
    <row r="93" spans="1:27" ht="12.75" x14ac:dyDescent="0.2">
      <c r="A93" s="9"/>
      <c r="B93" s="9"/>
      <c r="C93" s="9"/>
      <c r="D93" s="9"/>
      <c r="E93" s="9"/>
      <c r="F93" s="9"/>
      <c r="G93" s="9"/>
      <c r="H93" s="9"/>
      <c r="I93" s="9"/>
      <c r="J93" s="9"/>
      <c r="K93" s="9"/>
      <c r="L93" s="9"/>
      <c r="M93" s="9"/>
      <c r="N93" s="9"/>
      <c r="O93" s="9"/>
      <c r="P93" s="9"/>
      <c r="Q93" s="9"/>
      <c r="R93" s="9"/>
      <c r="S93" s="9"/>
      <c r="T93" s="9"/>
      <c r="U93" s="9"/>
      <c r="V93" s="9"/>
      <c r="W93" s="9"/>
      <c r="X93" s="9"/>
      <c r="Y93" s="9"/>
      <c r="Z93" s="9"/>
      <c r="AA93" s="9"/>
    </row>
    <row r="94" spans="1:27" ht="12.75" x14ac:dyDescent="0.2">
      <c r="A94" s="9"/>
      <c r="B94" s="9"/>
      <c r="C94" s="9"/>
      <c r="D94" s="9"/>
      <c r="E94" s="9"/>
      <c r="F94" s="9"/>
      <c r="G94" s="9"/>
      <c r="H94" s="9"/>
      <c r="I94" s="9"/>
      <c r="J94" s="9"/>
      <c r="K94" s="9"/>
      <c r="L94" s="9"/>
      <c r="M94" s="9"/>
      <c r="N94" s="9"/>
      <c r="O94" s="9"/>
      <c r="P94" s="9"/>
      <c r="Q94" s="9"/>
      <c r="R94" s="9"/>
      <c r="S94" s="9"/>
      <c r="T94" s="9"/>
      <c r="U94" s="9"/>
      <c r="V94" s="9"/>
      <c r="W94" s="9"/>
      <c r="X94" s="9"/>
      <c r="Y94" s="9"/>
      <c r="Z94" s="9"/>
      <c r="AA94" s="9"/>
    </row>
    <row r="95" spans="1:27" ht="12.75" x14ac:dyDescent="0.2">
      <c r="A95" s="9"/>
      <c r="B95" s="9"/>
      <c r="C95" s="9"/>
      <c r="D95" s="9"/>
      <c r="E95" s="9"/>
      <c r="F95" s="9"/>
      <c r="G95" s="9"/>
      <c r="H95" s="9"/>
      <c r="I95" s="9"/>
      <c r="J95" s="9"/>
      <c r="K95" s="9"/>
      <c r="L95" s="9"/>
      <c r="M95" s="9"/>
      <c r="N95" s="9"/>
      <c r="O95" s="9"/>
      <c r="P95" s="9"/>
      <c r="Q95" s="9"/>
      <c r="R95" s="9"/>
      <c r="S95" s="9"/>
      <c r="T95" s="9"/>
      <c r="U95" s="9"/>
      <c r="V95" s="9"/>
      <c r="W95" s="9"/>
      <c r="X95" s="9"/>
      <c r="Y95" s="9"/>
      <c r="Z95" s="9"/>
      <c r="AA95" s="9"/>
    </row>
    <row r="96" spans="1:27" ht="12.75" x14ac:dyDescent="0.2">
      <c r="A96" s="9"/>
      <c r="B96" s="9"/>
      <c r="C96" s="9"/>
      <c r="D96" s="9"/>
      <c r="E96" s="9"/>
      <c r="F96" s="9"/>
      <c r="G96" s="9"/>
      <c r="H96" s="9"/>
      <c r="I96" s="9"/>
      <c r="J96" s="9"/>
      <c r="K96" s="9"/>
      <c r="L96" s="9"/>
      <c r="M96" s="9"/>
      <c r="N96" s="9"/>
      <c r="O96" s="9"/>
      <c r="P96" s="9"/>
      <c r="Q96" s="9"/>
      <c r="R96" s="9"/>
      <c r="S96" s="9"/>
      <c r="T96" s="9"/>
      <c r="U96" s="9"/>
      <c r="V96" s="9"/>
      <c r="W96" s="9"/>
      <c r="X96" s="9"/>
      <c r="Y96" s="9"/>
      <c r="Z96" s="9"/>
      <c r="AA96" s="9"/>
    </row>
    <row r="97" spans="1:27" ht="12.75" x14ac:dyDescent="0.2">
      <c r="A97" s="9"/>
      <c r="B97" s="9"/>
      <c r="C97" s="9"/>
      <c r="D97" s="9"/>
      <c r="E97" s="9"/>
      <c r="F97" s="9"/>
      <c r="G97" s="9"/>
      <c r="H97" s="9"/>
      <c r="I97" s="9"/>
      <c r="J97" s="9"/>
      <c r="K97" s="9"/>
      <c r="L97" s="9"/>
      <c r="M97" s="9"/>
      <c r="N97" s="9"/>
      <c r="O97" s="9"/>
      <c r="P97" s="9"/>
      <c r="Q97" s="9"/>
      <c r="R97" s="9"/>
      <c r="S97" s="9"/>
      <c r="T97" s="9"/>
      <c r="U97" s="9"/>
      <c r="V97" s="9"/>
      <c r="W97" s="9"/>
      <c r="X97" s="9"/>
      <c r="Y97" s="9"/>
      <c r="Z97" s="9"/>
      <c r="AA97" s="9"/>
    </row>
    <row r="98" spans="1:27" ht="12.75" x14ac:dyDescent="0.2">
      <c r="A98" s="9"/>
      <c r="B98" s="9"/>
      <c r="C98" s="9"/>
      <c r="D98" s="9"/>
      <c r="E98" s="9"/>
      <c r="F98" s="9"/>
      <c r="G98" s="9"/>
      <c r="H98" s="9"/>
      <c r="I98" s="9"/>
      <c r="J98" s="9"/>
      <c r="K98" s="9"/>
      <c r="L98" s="9"/>
      <c r="M98" s="9"/>
      <c r="N98" s="9"/>
      <c r="O98" s="9"/>
      <c r="P98" s="9"/>
      <c r="Q98" s="9"/>
      <c r="R98" s="9"/>
      <c r="S98" s="9"/>
      <c r="T98" s="9"/>
      <c r="U98" s="9"/>
      <c r="V98" s="9"/>
      <c r="W98" s="9"/>
      <c r="X98" s="9"/>
      <c r="Y98" s="9"/>
      <c r="Z98" s="9"/>
      <c r="AA98" s="9"/>
    </row>
    <row r="99" spans="1:27" ht="12.75" x14ac:dyDescent="0.2">
      <c r="A99" s="9"/>
      <c r="B99" s="9"/>
      <c r="C99" s="9"/>
      <c r="D99" s="9"/>
      <c r="E99" s="9"/>
      <c r="F99" s="9"/>
      <c r="G99" s="9"/>
      <c r="H99" s="9"/>
      <c r="I99" s="9"/>
      <c r="J99" s="9"/>
      <c r="K99" s="9"/>
      <c r="L99" s="9"/>
      <c r="M99" s="9"/>
      <c r="N99" s="9"/>
      <c r="O99" s="9"/>
      <c r="P99" s="9"/>
      <c r="Q99" s="9"/>
      <c r="R99" s="9"/>
      <c r="S99" s="9"/>
      <c r="T99" s="9"/>
      <c r="U99" s="9"/>
      <c r="V99" s="9"/>
      <c r="W99" s="9"/>
      <c r="X99" s="9"/>
      <c r="Y99" s="9"/>
      <c r="Z99" s="9"/>
      <c r="AA99" s="9"/>
    </row>
    <row r="100" spans="1:27" ht="12.75"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row>
    <row r="101" spans="1:27" ht="12.75"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row>
    <row r="102" spans="1:27" ht="12.75"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row>
    <row r="103" spans="1:27" ht="12.75"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row>
    <row r="104" spans="1:27" ht="12.75"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row>
    <row r="105" spans="1:27" ht="12.75"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row>
    <row r="106" spans="1:27" ht="12.75"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row>
    <row r="107" spans="1:27" ht="12.75"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row>
    <row r="108" spans="1:27" ht="12.75"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row>
    <row r="109" spans="1:27" ht="12.75"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row>
    <row r="110" spans="1:27" ht="12.75"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row>
    <row r="111" spans="1:27" ht="12.75"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row>
    <row r="112" spans="1:27" ht="12.75"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row>
    <row r="113" spans="1:27" ht="12.75"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row>
    <row r="114" spans="1:27" ht="12.75"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row>
    <row r="115" spans="1:27" ht="12.75"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row>
    <row r="116" spans="1:27" ht="12.75"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row>
    <row r="117" spans="1:27" ht="12.75"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row>
    <row r="118" spans="1:27" ht="12.75"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row>
    <row r="119" spans="1:27" ht="12.75"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row>
    <row r="120" spans="1:27" ht="12.75"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row>
    <row r="121" spans="1:27" ht="12.75"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row>
    <row r="122" spans="1:27" ht="12.75"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row>
    <row r="123" spans="1:27" ht="12.75"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row>
    <row r="124" spans="1:27" ht="12.75"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row>
    <row r="125" spans="1:27" ht="12.75"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row>
    <row r="126" spans="1:27" ht="12.75"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row>
    <row r="127" spans="1:27" ht="12.75"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row>
    <row r="128" spans="1:27" ht="12.75"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row>
    <row r="129" spans="1:27" ht="12.75"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row>
    <row r="130" spans="1:27" ht="12.75"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row>
    <row r="131" spans="1:27" ht="12.75"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row>
    <row r="132" spans="1:27" ht="12.75"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row>
    <row r="133" spans="1:27" ht="12.75"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row>
    <row r="134" spans="1:27" ht="12.75"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row>
    <row r="135" spans="1:27" ht="12.75"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row>
    <row r="136" spans="1:27" ht="12.75"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row>
    <row r="137" spans="1:27" ht="12.75"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row>
    <row r="138" spans="1:27" ht="12.75"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row>
    <row r="139" spans="1:27" ht="12.75"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row>
    <row r="140" spans="1:27" ht="12.75"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row>
    <row r="141" spans="1:27" ht="12.75"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row>
    <row r="142" spans="1:27" ht="12.75"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row>
    <row r="143" spans="1:27" ht="12.75"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row>
    <row r="144" spans="1:27" ht="12.75"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row>
    <row r="145" spans="1:27" ht="12.75"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row>
    <row r="146" spans="1:27" ht="12.75"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row>
    <row r="147" spans="1:27" ht="12.75"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row>
    <row r="148" spans="1:27" ht="12.75"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row>
    <row r="149" spans="1:27" ht="12.75"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row>
    <row r="150" spans="1:27" ht="12.75"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row>
    <row r="151" spans="1:27" ht="12.75"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row>
    <row r="152" spans="1:27" ht="12.75"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row>
    <row r="153" spans="1:27" ht="12.75"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row>
    <row r="154" spans="1:27" ht="12.75"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row>
    <row r="155" spans="1:27" ht="12.75"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row>
    <row r="156" spans="1:27" ht="12.75"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row>
    <row r="157" spans="1:27" ht="12.75"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row>
    <row r="158" spans="1:27" ht="12.75"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row>
    <row r="159" spans="1:27" ht="12.75"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row>
    <row r="160" spans="1:27" ht="12.75"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row>
    <row r="161" spans="1:27" ht="12.75"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row>
    <row r="162" spans="1:27" ht="12.75"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row>
    <row r="163" spans="1:27" ht="12.75"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row>
    <row r="164" spans="1:27" ht="12.75"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row>
    <row r="165" spans="1:27" ht="12.75"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row>
    <row r="166" spans="1:27" ht="12.75"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row>
    <row r="167" spans="1:27" ht="12.75"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row>
    <row r="168" spans="1:27" ht="12.75"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row>
    <row r="169" spans="1:27" ht="12.75"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row>
    <row r="170" spans="1:27" ht="12.75"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row>
    <row r="171" spans="1:27" ht="12.75"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row>
    <row r="172" spans="1:27" ht="12.75"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row>
    <row r="173" spans="1:27" ht="12.75"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row>
    <row r="174" spans="1:27" ht="12.75"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row>
    <row r="175" spans="1:27" ht="12.75"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row>
    <row r="176" spans="1:27" ht="12.75"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row>
    <row r="177" spans="1:27" ht="12.75"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row>
    <row r="178" spans="1:27" ht="12.75"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row>
    <row r="179" spans="1:27" ht="12.75"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row>
    <row r="180" spans="1:27" ht="12.75"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row>
    <row r="181" spans="1:27" ht="12.75"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row>
    <row r="182" spans="1:27" ht="12.75"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1:27" ht="12.75"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row>
    <row r="184" spans="1:27" ht="12.75"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row>
    <row r="185" spans="1:27" ht="12.75"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row>
    <row r="186" spans="1:27" ht="12.75"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row>
    <row r="187" spans="1:27" ht="12.75"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row>
    <row r="188" spans="1:27" ht="12.75"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row>
    <row r="189" spans="1:27" ht="12.75"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row>
    <row r="190" spans="1:27" ht="12.75"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row>
    <row r="191" spans="1:27" ht="12.75"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row>
    <row r="192" spans="1:27" ht="12.75"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row>
    <row r="193" spans="1:27" ht="12.75"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row>
    <row r="194" spans="1:27" ht="12.75"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row>
    <row r="195" spans="1:27" ht="12.75"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row>
    <row r="196" spans="1:27" ht="12.75"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row>
    <row r="197" spans="1:27" ht="12.75"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row>
    <row r="198" spans="1:27" ht="12.75"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row>
    <row r="199" spans="1:27" ht="12.75"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row>
    <row r="200" spans="1:27" ht="12.75"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row>
    <row r="201" spans="1:27" ht="12.75"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row>
    <row r="202" spans="1:27" ht="12.75"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row>
    <row r="203" spans="1:27" ht="12.75"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row>
    <row r="204" spans="1:27" ht="12.75"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row>
    <row r="205" spans="1:27" ht="12.75"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row>
    <row r="206" spans="1:27" ht="12.75"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row>
    <row r="207" spans="1:27" ht="12.75"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row>
    <row r="208" spans="1:27" ht="12.75"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row>
    <row r="209" spans="1:27" ht="12.75"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row>
    <row r="210" spans="1:27" ht="12.75"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row>
    <row r="211" spans="1:27" ht="12.75"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row>
    <row r="212" spans="1:27" ht="12.75"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row>
    <row r="213" spans="1:27" ht="12.75"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row>
    <row r="214" spans="1:27" ht="12.75"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row>
    <row r="215" spans="1:27" ht="12.75"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row>
    <row r="216" spans="1:27" ht="12.75"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row>
    <row r="217" spans="1:27" ht="12.75"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row>
    <row r="218" spans="1:27" ht="12.75"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row>
    <row r="219" spans="1:27" ht="12.75"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row>
    <row r="220" spans="1:27" ht="12.75"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row>
    <row r="221" spans="1:27" ht="12.75"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row>
    <row r="222" spans="1:27" ht="12.75"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row>
    <row r="223" spans="1:27" ht="12.75"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row>
    <row r="224" spans="1:27" ht="12.75"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row>
    <row r="225" spans="1:27" ht="12.75"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row>
    <row r="226" spans="1:27" ht="12.75"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row>
    <row r="227" spans="1:27" ht="12.75"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row>
    <row r="228" spans="1:27" ht="12.75"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row>
    <row r="229" spans="1:27" ht="12.75"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row>
    <row r="230" spans="1:27" ht="12.75"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row>
    <row r="231" spans="1:27" ht="12.75"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row>
    <row r="232" spans="1:27" ht="12.75"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row>
    <row r="233" spans="1:27" ht="12.75"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row>
    <row r="234" spans="1:27" ht="12.75"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row>
    <row r="235" spans="1:27" ht="12.75"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row>
    <row r="236" spans="1:27" ht="12.75"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row>
    <row r="237" spans="1:27" ht="12.75"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row>
    <row r="238" spans="1:27" ht="12.75"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row>
    <row r="239" spans="1:27" ht="12.75"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row>
    <row r="240" spans="1:27" ht="12.75"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row>
    <row r="241" spans="1:27" ht="12.75"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row>
    <row r="242" spans="1:27" ht="12.75"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row>
    <row r="243" spans="1:27" ht="12.75"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row>
    <row r="244" spans="1:27" ht="12.75"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row>
    <row r="245" spans="1:27" ht="12.75"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row>
    <row r="246" spans="1:27" ht="12.75"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row>
    <row r="247" spans="1:27" ht="12.75"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row>
    <row r="248" spans="1:27" ht="12.75"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row>
    <row r="249" spans="1:27" ht="12.75"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row>
    <row r="250" spans="1:27" ht="12.75"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row>
    <row r="251" spans="1:27" ht="12.75"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row>
    <row r="252" spans="1:27" ht="12.75"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row>
    <row r="253" spans="1:27" ht="12.75"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row>
    <row r="254" spans="1:27" ht="12.75"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row>
    <row r="255" spans="1:27" ht="12.75"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row>
    <row r="256" spans="1:27" ht="12.75"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row>
    <row r="257" spans="1:27" ht="12.75"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row>
    <row r="258" spans="1:27" ht="12.75"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row>
    <row r="259" spans="1:27" ht="12.75"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row>
    <row r="260" spans="1:27" ht="12.75"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row>
    <row r="261" spans="1:27" ht="12.75"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row>
    <row r="262" spans="1:27" ht="12.75"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row>
    <row r="263" spans="1:27" ht="12.75"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row>
    <row r="264" spans="1:27" ht="12.75"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row>
    <row r="265" spans="1:27" ht="12.75"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row>
    <row r="266" spans="1:27" ht="12.75"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row>
    <row r="267" spans="1:27" ht="12.75"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row>
    <row r="268" spans="1:27" ht="12.75"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row>
    <row r="269" spans="1:27" ht="12.75"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row>
    <row r="270" spans="1:27" ht="12.75"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row>
    <row r="271" spans="1:27" ht="12.75"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row>
    <row r="272" spans="1:27" ht="12.75"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row>
    <row r="273" spans="1:27" ht="12.75"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row>
    <row r="274" spans="1:27" ht="12.75"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row>
    <row r="275" spans="1:27" ht="12.75"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row>
    <row r="276" spans="1:27" ht="12.75"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row>
    <row r="277" spans="1:27" ht="12.75"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row>
    <row r="278" spans="1:27" ht="12.75"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row>
    <row r="279" spans="1:27" ht="12.75"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row>
    <row r="280" spans="1:27" ht="12.75"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row>
    <row r="281" spans="1:27" ht="12.75"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row>
    <row r="282" spans="1:27" ht="12.75"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row>
    <row r="283" spans="1:27" ht="12.75"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row>
    <row r="284" spans="1:27" ht="12.75"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row>
    <row r="285" spans="1:27" ht="12.75"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row>
    <row r="286" spans="1:27" ht="12.75"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row>
    <row r="287" spans="1:27" ht="12.75"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row>
    <row r="288" spans="1:27" ht="12.75"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row>
    <row r="289" spans="1:27" ht="12.75"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row>
    <row r="290" spans="1:27" ht="12.75"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row>
    <row r="291" spans="1:27" ht="12.75"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row>
    <row r="292" spans="1:27" ht="12.75"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row>
    <row r="293" spans="1:27" ht="12.75"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row>
    <row r="294" spans="1:27" ht="12.75"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row>
    <row r="295" spans="1:27" ht="12.75"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row>
    <row r="296" spans="1:27" ht="12.75"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row>
    <row r="297" spans="1:27" ht="12.75"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row>
    <row r="298" spans="1:27" ht="12.75"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row>
    <row r="299" spans="1:27" ht="12.75"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row>
    <row r="300" spans="1:27" ht="12.75"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row>
    <row r="301" spans="1:27" ht="12.75"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row>
    <row r="302" spans="1:27" ht="12.75"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row>
    <row r="303" spans="1:27" ht="12.75"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row>
    <row r="304" spans="1:27" ht="12.75"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row>
    <row r="305" spans="1:27" ht="12.75"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row>
    <row r="306" spans="1:27" ht="12.75"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row>
    <row r="307" spans="1:27" ht="12.75"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row>
    <row r="308" spans="1:27" ht="12.75"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row>
    <row r="309" spans="1:27" ht="12.75"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row>
    <row r="310" spans="1:27" ht="12.75"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row>
    <row r="311" spans="1:27" ht="12.75"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row>
    <row r="312" spans="1:27" ht="12.75"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row>
    <row r="313" spans="1:27" ht="12.75"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row>
    <row r="314" spans="1:27" ht="12.75"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row>
    <row r="315" spans="1:27" ht="12.75"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row>
    <row r="316" spans="1:27" ht="12.75"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row>
    <row r="317" spans="1:27" ht="12.75"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row>
    <row r="318" spans="1:27" ht="12.75"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row>
    <row r="319" spans="1:27" ht="12.75"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row>
    <row r="320" spans="1:27" ht="12.75"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row>
    <row r="321" spans="1:27" ht="12.75"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row>
    <row r="322" spans="1:27" ht="12.75"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row>
    <row r="323" spans="1:27" ht="12.75"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row>
    <row r="324" spans="1:27" ht="12.75"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row>
    <row r="325" spans="1:27" ht="12.75"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row>
    <row r="326" spans="1:27" ht="12.75"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row>
    <row r="327" spans="1:27" ht="12.75"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row>
    <row r="328" spans="1:27" ht="12.75"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row>
    <row r="329" spans="1:27" ht="12.75"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row>
    <row r="330" spans="1:27" ht="12.75"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row>
    <row r="331" spans="1:27" ht="12.75"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row>
    <row r="332" spans="1:27" ht="12.75"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row>
    <row r="333" spans="1:27" ht="12.75"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row>
    <row r="334" spans="1:27" ht="12.75"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row>
    <row r="335" spans="1:27" ht="12.75"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row>
    <row r="336" spans="1:27" ht="12.75"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row>
    <row r="337" spans="1:27" ht="12.75"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row>
    <row r="338" spans="1:27" ht="12.75"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row>
    <row r="339" spans="1:27" ht="12.75"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row>
    <row r="340" spans="1:27" ht="12.75"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row>
    <row r="341" spans="1:27" ht="12.75"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row>
    <row r="342" spans="1:27" ht="12.75"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row>
    <row r="343" spans="1:27" ht="12.75"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row>
    <row r="344" spans="1:27" ht="12.75"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row>
    <row r="345" spans="1:27" ht="12.75"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row>
    <row r="346" spans="1:27" ht="12.75"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row>
    <row r="347" spans="1:27" ht="12.75"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row>
    <row r="348" spans="1:27" ht="12.75"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row>
    <row r="349" spans="1:27" ht="12.75"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row>
    <row r="350" spans="1:27" ht="12.75"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row>
    <row r="351" spans="1:27" ht="12.75"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row>
    <row r="352" spans="1:27" ht="12.75"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row>
    <row r="353" spans="1:27" ht="12.75"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row>
    <row r="354" spans="1:27" ht="12.75"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row>
    <row r="355" spans="1:27" ht="12.75"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row>
    <row r="356" spans="1:27" ht="12.75"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row>
    <row r="357" spans="1:27" ht="12.75"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row>
    <row r="358" spans="1:27" ht="12.75"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row>
    <row r="359" spans="1:27" ht="12.75"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row>
    <row r="360" spans="1:27" ht="12.75"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row>
    <row r="361" spans="1:27" ht="12.75"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row>
    <row r="362" spans="1:27" ht="12.75"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row>
    <row r="363" spans="1:27" ht="12.75"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row>
    <row r="364" spans="1:27" ht="12.75"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row>
    <row r="365" spans="1:27" ht="12.75"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row>
    <row r="366" spans="1:27" ht="12.75"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row>
    <row r="367" spans="1:27" ht="12.75"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row>
    <row r="368" spans="1:27" ht="12.75"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row>
    <row r="369" spans="1:27" ht="12.75"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row>
    <row r="370" spans="1:27" ht="12.75"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row>
    <row r="371" spans="1:27" ht="12.75"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row>
    <row r="372" spans="1:27" ht="12.75"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row>
    <row r="373" spans="1:27" ht="12.75"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row>
    <row r="374" spans="1:27" ht="12.75"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row>
    <row r="375" spans="1:27" ht="12.75"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row>
    <row r="376" spans="1:27" ht="12.75"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row>
    <row r="377" spans="1:27" ht="12.75"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row>
    <row r="378" spans="1:27" ht="12.75"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row>
    <row r="379" spans="1:27" ht="12.75"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row>
    <row r="380" spans="1:27" ht="12.75"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row>
    <row r="381" spans="1:27" ht="12.75"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row>
    <row r="382" spans="1:27" ht="12.75"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row>
    <row r="383" spans="1:27" ht="12.75"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row>
    <row r="384" spans="1:27" ht="12.75"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row>
    <row r="385" spans="1:27" ht="12.75"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row>
    <row r="386" spans="1:27" ht="12.75"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row>
    <row r="387" spans="1:27" ht="12.75"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row>
    <row r="388" spans="1:27" ht="12.75"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row>
    <row r="389" spans="1:27" ht="12.75"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row>
    <row r="390" spans="1:27" ht="12.75"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row>
    <row r="391" spans="1:27" ht="12.75"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row>
    <row r="392" spans="1:27" ht="12.75"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row>
    <row r="393" spans="1:27" ht="12.75"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row>
    <row r="394" spans="1:27" ht="12.75"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row>
    <row r="395" spans="1:27" ht="12.75"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row>
    <row r="396" spans="1:27" ht="12.75"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row>
    <row r="397" spans="1:27" ht="12.75"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row>
    <row r="398" spans="1:27" ht="12.75"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row>
    <row r="399" spans="1:27" ht="12.75"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row>
    <row r="400" spans="1:27" ht="12.75"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row>
    <row r="401" spans="1:27" ht="12.75"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row>
    <row r="402" spans="1:27" ht="12.75"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row>
    <row r="403" spans="1:27" ht="12.75"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row>
    <row r="404" spans="1:27" ht="12.75"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row>
    <row r="405" spans="1:27" ht="12.75"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row>
    <row r="406" spans="1:27" ht="12.75"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row>
    <row r="407" spans="1:27" ht="12.75"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row>
    <row r="408" spans="1:27" ht="12.75"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row>
    <row r="409" spans="1:27" ht="12.75"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row>
    <row r="410" spans="1:27" ht="12.75"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row>
    <row r="411" spans="1:27" ht="12.75"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row>
    <row r="412" spans="1:27" ht="12.75"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row>
    <row r="413" spans="1:27" ht="12.75"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row>
    <row r="414" spans="1:27" ht="12.75"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row>
    <row r="415" spans="1:27" ht="12.75"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row>
    <row r="416" spans="1:27" ht="12.75"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row>
    <row r="417" spans="1:27" ht="12.75"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row>
    <row r="418" spans="1:27" ht="12.75"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row>
    <row r="419" spans="1:27" ht="12.75"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row>
    <row r="420" spans="1:27" ht="12.75"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row>
    <row r="421" spans="1:27" ht="12.75"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row>
    <row r="422" spans="1:27" ht="12.75"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row>
    <row r="423" spans="1:27" ht="12.75"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row>
    <row r="424" spans="1:27" ht="12.75"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row>
    <row r="425" spans="1:27" ht="12.75"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row>
    <row r="426" spans="1:27" ht="12.75"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row>
    <row r="427" spans="1:27" ht="12.75"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row>
    <row r="428" spans="1:27" ht="12.75"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row>
    <row r="429" spans="1:27" ht="12.75"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row>
    <row r="430" spans="1:27" ht="12.75"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row>
    <row r="431" spans="1:27" ht="12.75"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row>
    <row r="432" spans="1:27" ht="12.75"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row>
    <row r="433" spans="1:27" ht="12.75"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row>
    <row r="434" spans="1:27" ht="12.75"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row>
    <row r="435" spans="1:27" ht="12.75"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row>
    <row r="436" spans="1:27" ht="12.75"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row>
    <row r="437" spans="1:27" ht="12.75"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row>
    <row r="438" spans="1:27" ht="12.75"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row>
    <row r="439" spans="1:27" ht="12.75"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row>
    <row r="440" spans="1:27" ht="12.75"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row>
    <row r="441" spans="1:27" ht="12.75"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row>
    <row r="442" spans="1:27" ht="12.75"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row>
    <row r="443" spans="1:27" ht="12.75"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row>
    <row r="444" spans="1:27" ht="12.75"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row>
    <row r="445" spans="1:27" ht="12.75"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row>
    <row r="446" spans="1:27" ht="12.75"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row>
    <row r="447" spans="1:27" ht="12.75"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row>
    <row r="448" spans="1:27" ht="12.75"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row>
    <row r="449" spans="1:27" ht="12.75"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row>
    <row r="450" spans="1:27" ht="12.75"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row>
    <row r="451" spans="1:27" ht="12.75"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row>
    <row r="452" spans="1:27" ht="12.75"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row>
    <row r="453" spans="1:27" ht="12.75"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row>
    <row r="454" spans="1:27" ht="12.75"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row>
    <row r="455" spans="1:27" ht="12.75"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row>
    <row r="456" spans="1:27" ht="12.75"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row>
    <row r="457" spans="1:27" ht="12.75"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row>
    <row r="458" spans="1:27" ht="12.75"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row>
    <row r="459" spans="1:27" ht="12.75"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row>
    <row r="460" spans="1:27" ht="12.75"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row>
    <row r="461" spans="1:27" ht="12.75"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row>
    <row r="462" spans="1:27" ht="12.75"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row>
    <row r="463" spans="1:27" ht="12.75"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row>
    <row r="464" spans="1:27" ht="12.75"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row>
    <row r="465" spans="1:27" ht="12.75"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row>
    <row r="466" spans="1:27" ht="12.75"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row>
    <row r="467" spans="1:27" ht="12.75"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row>
    <row r="468" spans="1:27" ht="12.75"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row>
    <row r="469" spans="1:27" ht="12.75"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row>
    <row r="470" spans="1:27" ht="12.75"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row>
    <row r="471" spans="1:27" ht="12.75"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row>
    <row r="472" spans="1:27" ht="12.75"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row>
    <row r="473" spans="1:27" ht="12.75"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row>
    <row r="474" spans="1:27" ht="12.75"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row>
    <row r="475" spans="1:27" ht="12.75"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row>
    <row r="476" spans="1:27" ht="12.75"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row>
    <row r="477" spans="1:27" ht="12.75"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row>
    <row r="478" spans="1:27" ht="12.75"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row>
    <row r="479" spans="1:27" ht="12.75"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row>
    <row r="480" spans="1:27" ht="12.75"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row>
    <row r="481" spans="1:27" ht="12.75"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row>
    <row r="482" spans="1:27" ht="12.75"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row>
    <row r="483" spans="1:27" ht="12.75"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row>
    <row r="484" spans="1:27" ht="12.75"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row>
    <row r="485" spans="1:27" ht="12.75"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row>
    <row r="486" spans="1:27" ht="12.75"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row>
    <row r="487" spans="1:27" ht="12.75"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row>
    <row r="488" spans="1:27" ht="12.75"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row>
    <row r="489" spans="1:27" ht="12.75"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row>
    <row r="490" spans="1:27" ht="12.75"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row>
    <row r="491" spans="1:27" ht="12.75"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row>
    <row r="492" spans="1:27" ht="12.75"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row>
    <row r="493" spans="1:27" ht="12.75"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row>
    <row r="494" spans="1:27" ht="12.75"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row>
    <row r="495" spans="1:27" ht="12.75"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row>
    <row r="496" spans="1:27" ht="12.75"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row>
    <row r="497" spans="1:27" ht="12.75"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row>
    <row r="498" spans="1:27" ht="12.75"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row>
    <row r="499" spans="1:27" ht="12.75"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row>
    <row r="500" spans="1:27" ht="12.75"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row>
    <row r="501" spans="1:27" ht="12.75"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row>
    <row r="502" spans="1:27" ht="12.75"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row>
    <row r="503" spans="1:27" ht="12.75"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row>
    <row r="504" spans="1:27" ht="12.75"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row>
    <row r="505" spans="1:27" ht="12.75"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row>
    <row r="506" spans="1:27" ht="12.75"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row>
    <row r="507" spans="1:27" ht="12.75"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row>
    <row r="508" spans="1:27" ht="12.75"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row>
    <row r="509" spans="1:27" ht="12.75"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row>
    <row r="510" spans="1:27" ht="12.75"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row>
    <row r="511" spans="1:27" ht="12.75"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row>
    <row r="512" spans="1:27" ht="12.75"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row>
    <row r="513" spans="1:27" ht="12.75"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row>
    <row r="514" spans="1:27" ht="12.75"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row>
    <row r="515" spans="1:27" ht="12.75"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row>
    <row r="516" spans="1:27" ht="12.75"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row>
    <row r="517" spans="1:27" ht="12.75"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row>
    <row r="518" spans="1:27" ht="12.75"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row>
    <row r="519" spans="1:27" ht="12.75"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row>
    <row r="520" spans="1:27" ht="12.75"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row>
    <row r="521" spans="1:27" ht="12.75"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row>
    <row r="522" spans="1:27" ht="12.75"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row>
    <row r="523" spans="1:27" ht="12.75"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row>
    <row r="524" spans="1:27" ht="12.75"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row>
    <row r="525" spans="1:27" ht="12.75"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row>
    <row r="526" spans="1:27" ht="12.75"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row>
    <row r="527" spans="1:27" ht="12.75"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row>
    <row r="528" spans="1:27" ht="12.75"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row>
    <row r="529" spans="1:27" ht="12.75"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row>
    <row r="530" spans="1:27" ht="12.75"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row>
    <row r="531" spans="1:27" ht="12.75"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row>
    <row r="532" spans="1:27" ht="12.75"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row>
    <row r="533" spans="1:27" ht="12.75"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row>
    <row r="534" spans="1:27" ht="12.75"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row>
    <row r="535" spans="1:27" ht="12.75"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row>
    <row r="536" spans="1:27" ht="12.75"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row>
    <row r="537" spans="1:27" ht="12.75"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row>
    <row r="538" spans="1:27" ht="12.75"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row>
    <row r="539" spans="1:27" ht="12.75"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row>
    <row r="540" spans="1:27" ht="12.75"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row>
    <row r="541" spans="1:27" ht="12.75"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row>
    <row r="542" spans="1:27" ht="12.75"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row>
    <row r="543" spans="1:27" ht="12.75"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row>
    <row r="544" spans="1:27" ht="12.75"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row>
    <row r="545" spans="1:27" ht="12.75"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row>
    <row r="546" spans="1:27" ht="12.75"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row>
    <row r="547" spans="1:27" ht="12.75"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row>
    <row r="548" spans="1:27" ht="12.75"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row>
    <row r="549" spans="1:27" ht="12.75"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row>
    <row r="550" spans="1:27" ht="12.75"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row>
    <row r="551" spans="1:27" ht="12.75"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row>
    <row r="552" spans="1:27" ht="12.75"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row>
    <row r="553" spans="1:27" ht="12.75"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row>
    <row r="554" spans="1:27" ht="12.75"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row>
    <row r="555" spans="1:27" ht="12.75"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row>
    <row r="556" spans="1:27" ht="12.75"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row>
    <row r="557" spans="1:27" ht="12.75"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row>
    <row r="558" spans="1:27" ht="12.75"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row>
    <row r="559" spans="1:27" ht="12.75"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row>
    <row r="560" spans="1:27" ht="12.75"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row>
    <row r="561" spans="1:27" ht="12.75"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row>
    <row r="562" spans="1:27" ht="12.75"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row>
    <row r="563" spans="1:27" ht="12.75"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row>
    <row r="564" spans="1:27" ht="12.75"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row>
    <row r="565" spans="1:27" ht="12.75"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row>
    <row r="566" spans="1:27" ht="12.75"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row>
    <row r="567" spans="1:27" ht="12.75"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row>
    <row r="568" spans="1:27" ht="12.75"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row>
    <row r="569" spans="1:27" ht="12.75"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row>
    <row r="570" spans="1:27" ht="12.75"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row>
    <row r="571" spans="1:27" ht="12.75"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row>
    <row r="572" spans="1:27" ht="12.75"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row>
    <row r="573" spans="1:27" ht="12.75"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row>
    <row r="574" spans="1:27" ht="12.75"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row>
    <row r="575" spans="1:27" ht="12.75"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row>
    <row r="576" spans="1:27" ht="12.75"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row>
    <row r="577" spans="1:27" ht="12.75"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row>
    <row r="578" spans="1:27" ht="12.75"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row>
    <row r="579" spans="1:27" ht="12.75"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row>
    <row r="580" spans="1:27" ht="12.75"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row>
    <row r="581" spans="1:27" ht="12.75"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row>
    <row r="582" spans="1:27" ht="12.75"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row>
    <row r="583" spans="1:27" ht="12.75"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row>
    <row r="584" spans="1:27" ht="12.75"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row>
    <row r="585" spans="1:27" ht="12.75"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row>
    <row r="586" spans="1:27" ht="12.75"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row>
    <row r="587" spans="1:27" ht="12.75"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row>
    <row r="588" spans="1:27" ht="12.75"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row>
    <row r="589" spans="1:27" ht="12.75"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row>
    <row r="590" spans="1:27" ht="12.75"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row>
    <row r="591" spans="1:27" ht="12.75"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row>
    <row r="592" spans="1:27" ht="12.75"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row>
    <row r="593" spans="1:27" ht="12.75"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row>
    <row r="594" spans="1:27" ht="12.75"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row>
    <row r="595" spans="1:27" ht="12.75"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row>
    <row r="596" spans="1:27" ht="12.75"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row>
    <row r="597" spans="1:27" ht="12.75"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row>
    <row r="598" spans="1:27" ht="12.75"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row>
    <row r="599" spans="1:27" ht="12.75"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row>
    <row r="600" spans="1:27" ht="12.75"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row>
    <row r="601" spans="1:27" ht="12.75"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row>
    <row r="602" spans="1:27" ht="12.75"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row>
    <row r="603" spans="1:27" ht="12.75"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row>
    <row r="604" spans="1:27" ht="12.75"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row>
    <row r="605" spans="1:27" ht="12.75"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row>
    <row r="606" spans="1:27" ht="12.75"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row>
    <row r="607" spans="1:27" ht="12.75"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row>
    <row r="608" spans="1:27" ht="12.75"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row>
    <row r="609" spans="1:27" ht="12.75"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row>
    <row r="610" spans="1:27" ht="12.75"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row>
    <row r="611" spans="1:27" ht="12.75"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row>
    <row r="612" spans="1:27" ht="12.75"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row>
    <row r="613" spans="1:27" ht="12.75"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row>
    <row r="614" spans="1:27" ht="12.75"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row>
    <row r="615" spans="1:27" ht="12.75"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row>
    <row r="616" spans="1:27" ht="12.75"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row>
    <row r="617" spans="1:27" ht="12.75"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row>
    <row r="618" spans="1:27" ht="12.75"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row>
    <row r="619" spans="1:27" ht="12.75"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row>
    <row r="620" spans="1:27" ht="12.75"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row>
    <row r="621" spans="1:27" ht="12.75"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row>
    <row r="622" spans="1:27" ht="12.75"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row>
    <row r="623" spans="1:27" ht="12.75"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row>
    <row r="624" spans="1:27" ht="12.75"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row>
    <row r="625" spans="1:27" ht="12.75"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row>
    <row r="626" spans="1:27" ht="12.75"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row>
    <row r="627" spans="1:27" ht="12.75"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row>
    <row r="628" spans="1:27" ht="12.75"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row>
    <row r="629" spans="1:27" ht="12.75"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row>
    <row r="630" spans="1:27" ht="12.75"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row>
    <row r="631" spans="1:27" ht="12.75"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row>
    <row r="632" spans="1:27" ht="12.75"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row>
    <row r="633" spans="1:27" ht="12.75"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row>
    <row r="634" spans="1:27" ht="12.75"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row>
    <row r="635" spans="1:27" ht="12.75"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row>
    <row r="636" spans="1:27" ht="12.75"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row>
    <row r="637" spans="1:27" ht="12.75"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row>
    <row r="638" spans="1:27" ht="12.75"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row>
    <row r="639" spans="1:27" ht="12.75"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row>
    <row r="640" spans="1:27" ht="12.75"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row>
    <row r="641" spans="1:27" ht="12.75"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row>
    <row r="642" spans="1:27" ht="12.75"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row>
    <row r="643" spans="1:27" ht="12.75"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row>
    <row r="644" spans="1:27" ht="12.75"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row>
    <row r="645" spans="1:27" ht="12.75"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row>
    <row r="646" spans="1:27" ht="12.75"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row>
    <row r="647" spans="1:27" ht="12.75"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row>
    <row r="648" spans="1:27" ht="12.75"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row>
    <row r="649" spans="1:27" ht="12.75"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row>
    <row r="650" spans="1:27" ht="12.75"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row>
    <row r="651" spans="1:27" ht="12.75"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row>
    <row r="652" spans="1:27" ht="12.75"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row>
    <row r="653" spans="1:27" ht="12.75"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row>
    <row r="654" spans="1:27" ht="12.75"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row>
    <row r="655" spans="1:27" ht="12.75"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row>
    <row r="656" spans="1:27" ht="12.75"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row>
    <row r="657" spans="1:27" ht="12.75"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row>
    <row r="658" spans="1:27" ht="12.75"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row>
    <row r="659" spans="1:27" ht="12.75"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row>
    <row r="660" spans="1:27" ht="12.75"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row>
    <row r="661" spans="1:27" ht="12.75"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row>
    <row r="662" spans="1:27" ht="12.75"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row>
    <row r="663" spans="1:27" ht="12.75"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row>
    <row r="664" spans="1:27" ht="12.75"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row>
    <row r="665" spans="1:27" ht="12.75"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row>
    <row r="666" spans="1:27" ht="12.75"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row>
    <row r="667" spans="1:27" ht="12.75"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row>
    <row r="668" spans="1:27" ht="12.75"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row>
    <row r="669" spans="1:27" ht="12.75"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row>
    <row r="670" spans="1:27" ht="12.75"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row>
    <row r="671" spans="1:27" ht="12.75"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row>
    <row r="672" spans="1:27" ht="12.75"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row>
    <row r="673" spans="1:27" ht="12.75"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row>
    <row r="674" spans="1:27" ht="12.75"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row>
    <row r="675" spans="1:27" ht="12.75"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row>
    <row r="676" spans="1:27" ht="12.75"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row>
    <row r="677" spans="1:27" ht="12.75"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row>
    <row r="678" spans="1:27" ht="12.75"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row>
    <row r="679" spans="1:27" ht="12.75"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row>
    <row r="680" spans="1:27" ht="12.75"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row>
    <row r="681" spans="1:27" ht="12.75"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row>
    <row r="682" spans="1:27" ht="12.75"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row>
    <row r="683" spans="1:27" ht="12.75"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row>
    <row r="684" spans="1:27" ht="12.75"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row>
    <row r="685" spans="1:27" ht="12.75"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row>
    <row r="686" spans="1:27" ht="12.75"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row>
    <row r="687" spans="1:27" ht="12.75"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row>
    <row r="688" spans="1:27" ht="12.75"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row>
    <row r="689" spans="1:27" ht="12.75"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row>
    <row r="690" spans="1:27" ht="12.75"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row>
    <row r="691" spans="1:27" ht="12.75"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row>
    <row r="692" spans="1:27" ht="12.75"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row>
    <row r="693" spans="1:27" ht="12.75"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row>
    <row r="694" spans="1:27" ht="12.75"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row>
    <row r="695" spans="1:27" ht="12.75"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row>
    <row r="696" spans="1:27" ht="12.75"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row>
    <row r="697" spans="1:27" ht="12.75"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row>
    <row r="698" spans="1:27" ht="12.75"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row>
    <row r="699" spans="1:27" ht="12.75"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row>
    <row r="700" spans="1:27" ht="12.75"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row>
    <row r="701" spans="1:27" ht="12.75"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row>
    <row r="702" spans="1:27" ht="12.75"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row>
    <row r="703" spans="1:27" ht="12.75"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row>
    <row r="704" spans="1:27" ht="12.75"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row>
    <row r="705" spans="1:27" ht="12.75"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row>
    <row r="706" spans="1:27" ht="12.75"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row>
    <row r="707" spans="1:27" ht="12.75"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row>
    <row r="708" spans="1:27" ht="12.75"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row>
    <row r="709" spans="1:27" ht="12.75"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row>
    <row r="710" spans="1:27" ht="12.75"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row>
    <row r="711" spans="1:27" ht="12.75"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row>
    <row r="712" spans="1:27" ht="12.75"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row>
    <row r="713" spans="1:27" ht="12.75"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row>
    <row r="714" spans="1:27" ht="12.75"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row>
    <row r="715" spans="1:27" ht="12.75"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row>
    <row r="716" spans="1:27" ht="12.75"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row>
    <row r="717" spans="1:27" ht="12.75"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row>
    <row r="718" spans="1:27" ht="12.75"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row>
    <row r="719" spans="1:27" ht="12.75"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row>
    <row r="720" spans="1:27" ht="12.75"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row>
    <row r="721" spans="1:27" ht="12.75"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row>
    <row r="722" spans="1:27" ht="12.75"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row>
    <row r="723" spans="1:27" ht="12.75"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row>
    <row r="724" spans="1:27" ht="12.75"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row>
    <row r="725" spans="1:27" ht="12.75"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row>
    <row r="726" spans="1:27" ht="12.75"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row>
    <row r="727" spans="1:27" ht="12.75"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row>
    <row r="728" spans="1:27" ht="12.75"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row>
    <row r="729" spans="1:27" ht="12.75"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row>
    <row r="730" spans="1:27" ht="12.75"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row>
    <row r="731" spans="1:27" ht="12.75"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row>
    <row r="732" spans="1:27" ht="12.75"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row>
    <row r="733" spans="1:27" ht="12.75"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row>
    <row r="734" spans="1:27" ht="12.75"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row>
    <row r="735" spans="1:27" ht="12.75"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row>
    <row r="736" spans="1:27" ht="12.75"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row>
    <row r="737" spans="1:27" ht="12.75"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row>
    <row r="738" spans="1:27" ht="12.75"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row>
    <row r="739" spans="1:27" ht="12.75"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row>
    <row r="740" spans="1:27" ht="12.75"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row>
    <row r="741" spans="1:27" ht="12.75"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row>
    <row r="742" spans="1:27" ht="12.75"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row>
    <row r="743" spans="1:27" ht="12.75"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row>
    <row r="744" spans="1:27" ht="12.75"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row>
    <row r="745" spans="1:27" ht="12.75"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row>
    <row r="746" spans="1:27" ht="12.75"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row>
    <row r="747" spans="1:27" ht="12.75"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row>
    <row r="748" spans="1:27" ht="12.75"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row>
    <row r="749" spans="1:27" ht="12.75"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row>
    <row r="750" spans="1:27" ht="12.75"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row>
    <row r="751" spans="1:27" ht="12.75"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row>
    <row r="752" spans="1:27" ht="12.75"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row>
    <row r="753" spans="1:27" ht="12.75"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row>
    <row r="754" spans="1:27" ht="12.75"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row>
    <row r="755" spans="1:27" ht="12.75"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row>
    <row r="756" spans="1:27" ht="12.75"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row>
    <row r="757" spans="1:27" ht="12.75"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row>
    <row r="758" spans="1:27" ht="12.75"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row>
    <row r="759" spans="1:27" ht="12.75"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row>
    <row r="760" spans="1:27" ht="12.75"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row>
    <row r="761" spans="1:27" ht="12.75"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row>
    <row r="762" spans="1:27" ht="12.75"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row>
    <row r="763" spans="1:27" ht="12.75"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row>
    <row r="764" spans="1:27" ht="12.75"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row>
    <row r="765" spans="1:27" ht="12.75"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row>
    <row r="766" spans="1:27" ht="12.75"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row>
    <row r="767" spans="1:27" ht="12.75"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row>
    <row r="768" spans="1:27" ht="12.75"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row>
    <row r="769" spans="1:27" ht="12.75"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row>
    <row r="770" spans="1:27" ht="12.75"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row>
    <row r="771" spans="1:27" ht="12.75"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row>
    <row r="772" spans="1:27" ht="12.75"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row>
    <row r="773" spans="1:27" ht="12.75"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row>
    <row r="774" spans="1:27" ht="12.75"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row>
    <row r="775" spans="1:27" ht="12.75"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row>
    <row r="776" spans="1:27" ht="12.75"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row>
    <row r="777" spans="1:27" ht="12.75"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row>
    <row r="778" spans="1:27" ht="12.75"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row>
    <row r="779" spans="1:27" ht="12.75"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row>
    <row r="780" spans="1:27" ht="12.75"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row>
    <row r="781" spans="1:27" ht="12.75"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row>
    <row r="782" spans="1:27" ht="12.75"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row>
    <row r="783" spans="1:27" ht="12.75"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row>
    <row r="784" spans="1:27" ht="12.75"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row>
    <row r="785" spans="1:27" ht="12.75"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row>
    <row r="786" spans="1:27" ht="12.75"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row>
    <row r="787" spans="1:27" ht="12.75"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row>
    <row r="788" spans="1:27" ht="12.75"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row>
    <row r="789" spans="1:27" ht="12.75"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row>
    <row r="790" spans="1:27" ht="12.75"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row>
    <row r="791" spans="1:27" ht="12.75"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row>
    <row r="792" spans="1:27" ht="12.75"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row>
    <row r="793" spans="1:27" ht="12.75"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row>
    <row r="794" spans="1:27" ht="12.75"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row>
    <row r="795" spans="1:27" ht="12.75"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row>
    <row r="796" spans="1:27" ht="12.75"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row>
    <row r="797" spans="1:27" ht="12.75"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row>
    <row r="798" spans="1:27" ht="12.75"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row>
    <row r="799" spans="1:27" ht="12.75"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row>
    <row r="800" spans="1:27" ht="12.75"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row>
    <row r="801" spans="1:27" ht="12.75"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row>
    <row r="802" spans="1:27" ht="12.75"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row>
    <row r="803" spans="1:27" ht="12.75"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row>
    <row r="804" spans="1:27" ht="12.75"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row>
    <row r="805" spans="1:27" ht="12.75"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row>
    <row r="806" spans="1:27" ht="12.75"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row>
    <row r="807" spans="1:27" ht="12.75"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row>
    <row r="808" spans="1:27" ht="12.75"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row>
    <row r="809" spans="1:27" ht="12.75"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row>
    <row r="810" spans="1:27" ht="12.75"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row>
    <row r="811" spans="1:27" ht="12.75"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row>
    <row r="812" spans="1:27" ht="12.75"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row>
    <row r="813" spans="1:27" ht="12.75"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row>
    <row r="814" spans="1:27" ht="12.75"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row>
    <row r="815" spans="1:27" ht="12.75"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row>
    <row r="816" spans="1:27" ht="12.75"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row>
    <row r="817" spans="1:27" ht="12.75"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row>
    <row r="818" spans="1:27" ht="12.75"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row>
    <row r="819" spans="1:27" ht="12.75"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row>
    <row r="820" spans="1:27" ht="12.75"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row>
    <row r="821" spans="1:27" ht="12.75"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row>
    <row r="822" spans="1:27" ht="12.75"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row>
    <row r="823" spans="1:27" ht="12.75"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row>
    <row r="824" spans="1:27" ht="12.75"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row>
    <row r="825" spans="1:27" ht="12.75"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row>
    <row r="826" spans="1:27" ht="12.75"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row>
    <row r="827" spans="1:27" ht="12.75"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row>
    <row r="828" spans="1:27" ht="12.75"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row>
    <row r="829" spans="1:27" ht="12.75"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row>
    <row r="830" spans="1:27" ht="12.75"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row>
    <row r="831" spans="1:27" ht="12.75"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row>
    <row r="832" spans="1:27" ht="12.75"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row>
    <row r="833" spans="1:27" ht="12.75"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row>
    <row r="834" spans="1:27" ht="12.75"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row>
    <row r="835" spans="1:27" ht="12.75"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row>
    <row r="836" spans="1:27" ht="12.75"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row>
    <row r="837" spans="1:27" ht="12.75"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row>
    <row r="838" spans="1:27" ht="12.75"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row>
    <row r="839" spans="1:27" ht="12.75"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row>
    <row r="840" spans="1:27" ht="12.75"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row>
    <row r="841" spans="1:27" ht="12.75"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row>
    <row r="842" spans="1:27" ht="12.75"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row>
    <row r="843" spans="1:27" ht="12.75"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row>
    <row r="844" spans="1:27" ht="12.75"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row>
    <row r="845" spans="1:27" ht="12.75"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row>
    <row r="846" spans="1:27" ht="12.75"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row>
    <row r="847" spans="1:27" ht="12.75"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row>
    <row r="848" spans="1:27" ht="12.75"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row>
    <row r="849" spans="1:27" ht="12.75"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row>
    <row r="850" spans="1:27" ht="12.75"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row>
    <row r="851" spans="1:27" ht="12.75"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row>
    <row r="852" spans="1:27" ht="12.75"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row>
    <row r="853" spans="1:27" ht="12.75"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row>
    <row r="854" spans="1:27" ht="12.75"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row>
    <row r="855" spans="1:27" ht="12.75"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row>
    <row r="856" spans="1:27" ht="12.75"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row>
    <row r="857" spans="1:27" ht="12.75"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row>
    <row r="858" spans="1:27" ht="12.75"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row>
    <row r="859" spans="1:27" ht="12.75"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row>
    <row r="860" spans="1:27" ht="12.75"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row>
    <row r="861" spans="1:27" ht="12.75"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row>
    <row r="862" spans="1:27" ht="12.75"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row>
    <row r="863" spans="1:27" ht="12.75"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row>
    <row r="864" spans="1:27" ht="12.75"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row>
    <row r="865" spans="1:27" ht="12.75"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row>
    <row r="866" spans="1:27" ht="12.75"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row>
    <row r="867" spans="1:27" ht="12.75"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row>
    <row r="868" spans="1:27" ht="12.75"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row>
    <row r="869" spans="1:27" ht="12.75"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row>
    <row r="870" spans="1:27" ht="12.75"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row>
    <row r="871" spans="1:27" ht="12.75"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row>
    <row r="872" spans="1:27" ht="12.75"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row>
    <row r="873" spans="1:27" ht="12.75"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row>
    <row r="874" spans="1:27" ht="12.75"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row>
    <row r="875" spans="1:27" ht="12.75"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row>
    <row r="876" spans="1:27" ht="12.75"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row>
    <row r="877" spans="1:27" ht="12.75"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row>
    <row r="878" spans="1:27" ht="12.75"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row>
    <row r="879" spans="1:27" ht="12.75"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row>
    <row r="880" spans="1:27" ht="12.75"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row>
    <row r="881" spans="1:27" ht="12.75"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row>
    <row r="882" spans="1:27" ht="12.75"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row>
    <row r="883" spans="1:27" ht="12.75"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row>
    <row r="884" spans="1:27" ht="12.75"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row>
    <row r="885" spans="1:27" ht="12.75"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row>
    <row r="886" spans="1:27" ht="12.75"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row>
    <row r="887" spans="1:27" ht="12.75"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row>
    <row r="888" spans="1:27" ht="12.75"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row>
    <row r="889" spans="1:27" ht="12.75"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row>
    <row r="890" spans="1:27" ht="12.75"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row>
    <row r="891" spans="1:27" ht="12.75"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row>
    <row r="892" spans="1:27" ht="12.75"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row>
    <row r="893" spans="1:27" ht="12.75"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row>
    <row r="894" spans="1:27" ht="12.75"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row>
    <row r="895" spans="1:27" ht="12.75"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row>
    <row r="896" spans="1:27" ht="12.75"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row>
    <row r="897" spans="1:27" ht="12.75"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row>
    <row r="898" spans="1:27" ht="12.75"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row>
    <row r="899" spans="1:27" ht="12.75"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row>
    <row r="900" spans="1:27" ht="12.75"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row>
    <row r="901" spans="1:27" ht="12.75"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row>
    <row r="902" spans="1:27" ht="12.75"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row>
    <row r="903" spans="1:27" ht="12.75"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row>
    <row r="904" spans="1:27" ht="12.75"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row>
    <row r="905" spans="1:27" ht="12.75"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row>
    <row r="906" spans="1:27" ht="12.75"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row>
    <row r="907" spans="1:27" ht="12.75"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row>
    <row r="908" spans="1:27" ht="12.75"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row>
    <row r="909" spans="1:27" ht="12.75"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row>
    <row r="910" spans="1:27" ht="12.75"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row>
    <row r="911" spans="1:27" ht="12.75"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row>
    <row r="912" spans="1:27" ht="12.75"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row>
    <row r="913" spans="1:27" ht="12.75"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row>
    <row r="914" spans="1:27" ht="12.75"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row>
    <row r="915" spans="1:27" ht="12.75"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row>
    <row r="916" spans="1:27" ht="12.75"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row>
    <row r="917" spans="1:27" ht="12.75"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row>
    <row r="918" spans="1:27" ht="12.75"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row>
    <row r="919" spans="1:27" ht="12.75"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row>
    <row r="920" spans="1:27" ht="12.75"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row>
    <row r="921" spans="1:27" ht="12.75"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row>
    <row r="922" spans="1:27" ht="12.75"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row>
    <row r="923" spans="1:27" ht="12.75"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row>
    <row r="924" spans="1:27" ht="12.75"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row>
    <row r="925" spans="1:27" ht="12.75"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row>
    <row r="926" spans="1:27" ht="12.75"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row>
    <row r="927" spans="1:27" ht="12.75"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row>
    <row r="928" spans="1:27" ht="12.75"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row>
    <row r="929" spans="1:27" ht="12.75"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row>
    <row r="930" spans="1:27" ht="12.75"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row>
    <row r="931" spans="1:27" ht="12.75"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row>
    <row r="932" spans="1:27" ht="12.75"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row>
    <row r="933" spans="1:27" ht="12.75"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row>
    <row r="934" spans="1:27" ht="12.75"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row>
    <row r="935" spans="1:27" ht="12.75"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row>
    <row r="936" spans="1:27" ht="12.75"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row>
    <row r="937" spans="1:27" ht="12.75"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row>
    <row r="938" spans="1:27" ht="12.75"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row>
    <row r="939" spans="1:27" ht="12.75"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row>
    <row r="940" spans="1:27" ht="12.75"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row>
    <row r="941" spans="1:27" ht="12.75"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row>
    <row r="942" spans="1:27" ht="12.75"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row>
    <row r="943" spans="1:27" ht="12.75"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row>
    <row r="944" spans="1:27" ht="12.75"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row>
    <row r="945" spans="1:27" ht="12.75"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row>
    <row r="946" spans="1:27" ht="12.75"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row>
    <row r="947" spans="1:27" ht="12.75"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row>
    <row r="948" spans="1:27" ht="12.75"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row>
    <row r="949" spans="1:27" ht="12.75"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row>
    <row r="950" spans="1:27" ht="12.75"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row>
    <row r="951" spans="1:27" ht="12.75"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row>
    <row r="952" spans="1:27" ht="12.75"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row>
    <row r="953" spans="1:27" ht="12.75"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row>
    <row r="954" spans="1:27" ht="12.75"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row>
    <row r="955" spans="1:27" ht="12.75"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row>
    <row r="956" spans="1:27" ht="12.75"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row>
    <row r="957" spans="1:27" ht="12.75"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row>
    <row r="958" spans="1:27" ht="12.75"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row>
    <row r="959" spans="1:27" ht="12.75"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row>
    <row r="960" spans="1:27" ht="12.75"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row>
    <row r="961" spans="1:27" ht="12.75"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row>
    <row r="962" spans="1:27" ht="12.75"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row>
    <row r="963" spans="1:27" ht="12.75"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row>
    <row r="964" spans="1:27" ht="12.75"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row>
    <row r="965" spans="1:27" ht="12.75"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row>
    <row r="966" spans="1:27" ht="12.75"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row>
    <row r="967" spans="1:27" ht="12.75"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row>
    <row r="968" spans="1:27" ht="12.75"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row>
    <row r="969" spans="1:27" ht="12.75"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row>
    <row r="970" spans="1:27" ht="12.75"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row>
    <row r="971" spans="1:27" ht="12.75"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row>
    <row r="972" spans="1:27" ht="12.75"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row>
    <row r="973" spans="1:27" ht="12.75"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row>
    <row r="974" spans="1:27" ht="12.75"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row>
    <row r="975" spans="1:27" ht="12.75"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row>
    <row r="976" spans="1:27" ht="12.75"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row>
    <row r="977" spans="1:27" ht="12.75"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row>
    <row r="978" spans="1:27" ht="12.75"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row>
    <row r="979" spans="1:27" ht="12.75"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row>
    <row r="980" spans="1:27" ht="12.75"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row>
    <row r="981" spans="1:27" ht="12.75"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row>
    <row r="982" spans="1:27" ht="12.75"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row>
    <row r="983" spans="1:27" ht="12.75"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row>
    <row r="984" spans="1:27" ht="12.75"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row>
    <row r="985" spans="1:27" ht="12.75"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row>
    <row r="986" spans="1:27" ht="12.75"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row>
    <row r="987" spans="1:27" ht="12.75"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row>
    <row r="988" spans="1:27" ht="12.75"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row>
    <row r="989" spans="1:27" ht="12.75"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row>
    <row r="990" spans="1:27" ht="12.75"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row>
    <row r="991" spans="1:27" ht="12.75"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row>
    <row r="992" spans="1:27" ht="12.75"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row>
    <row r="993" spans="1:27" ht="12.75"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row>
    <row r="994" spans="1:27" ht="12.75"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row>
    <row r="995" spans="1:27" ht="12.75"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row>
    <row r="996" spans="1:27" ht="12.75"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row>
    <row r="997" spans="1:27" ht="12.75"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row>
    <row r="998" spans="1:27" ht="12.75"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row>
    <row r="999" spans="1:27" ht="12.75"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row>
    <row r="1000" spans="1:27" ht="12.75"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row>
    <row r="1001" spans="1:27" ht="12.75"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row>
  </sheetData>
  <mergeCells count="46">
    <mergeCell ref="O27:P27"/>
    <mergeCell ref="O29:P29"/>
    <mergeCell ref="O24:P24"/>
    <mergeCell ref="O11:P11"/>
    <mergeCell ref="O12:P12"/>
    <mergeCell ref="O17:P17"/>
    <mergeCell ref="O18:P18"/>
    <mergeCell ref="O14:P14"/>
    <mergeCell ref="O13:P13"/>
    <mergeCell ref="O15:P15"/>
    <mergeCell ref="O16:P16"/>
    <mergeCell ref="O31:P31"/>
    <mergeCell ref="N35:O35"/>
    <mergeCell ref="O30:P30"/>
    <mergeCell ref="O33:P33"/>
    <mergeCell ref="O28:P28"/>
    <mergeCell ref="N2:P2"/>
    <mergeCell ref="N6:O6"/>
    <mergeCell ref="O21:P21"/>
    <mergeCell ref="O10:P10"/>
    <mergeCell ref="H25:I25"/>
    <mergeCell ref="H8:I8"/>
    <mergeCell ref="O19:P19"/>
    <mergeCell ref="O20:P20"/>
    <mergeCell ref="O8:P8"/>
    <mergeCell ref="O9:P9"/>
    <mergeCell ref="O25:P25"/>
    <mergeCell ref="H11:I11"/>
    <mergeCell ref="H12:I12"/>
    <mergeCell ref="H16:I16"/>
    <mergeCell ref="H13:I13"/>
    <mergeCell ref="H15:I15"/>
    <mergeCell ref="H26:I26"/>
    <mergeCell ref="A34:B34"/>
    <mergeCell ref="G31:H31"/>
    <mergeCell ref="H10:I10"/>
    <mergeCell ref="H9:I9"/>
    <mergeCell ref="H18:I18"/>
    <mergeCell ref="H17:I17"/>
    <mergeCell ref="H22:I22"/>
    <mergeCell ref="H23:I23"/>
    <mergeCell ref="H19:I19"/>
    <mergeCell ref="H29:I29"/>
    <mergeCell ref="H27:I27"/>
    <mergeCell ref="H21:I21"/>
    <mergeCell ref="H14:I14"/>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D9"/>
  <sheetViews>
    <sheetView workbookViewId="0">
      <selection activeCell="D12" sqref="D12"/>
    </sheetView>
  </sheetViews>
  <sheetFormatPr defaultColWidth="14.42578125" defaultRowHeight="15.75" customHeight="1" x14ac:dyDescent="0.2"/>
  <cols>
    <col min="1" max="1" width="14.140625" customWidth="1"/>
    <col min="2" max="2" width="15" customWidth="1"/>
    <col min="3" max="3" width="11" customWidth="1"/>
  </cols>
  <sheetData>
    <row r="1" spans="1:4" ht="15.75" customHeight="1" x14ac:dyDescent="0.2">
      <c r="B1" s="1" t="s">
        <v>100</v>
      </c>
      <c r="C1" s="1" t="s">
        <v>101</v>
      </c>
      <c r="D1" s="68" t="s">
        <v>436</v>
      </c>
    </row>
    <row r="2" spans="1:4" ht="15.75" customHeight="1" x14ac:dyDescent="0.2">
      <c r="A2" s="1" t="s">
        <v>102</v>
      </c>
      <c r="B2" s="1">
        <v>35</v>
      </c>
      <c r="C2" s="1">
        <v>13</v>
      </c>
      <c r="D2">
        <f>SUM(B2:C2)</f>
        <v>48</v>
      </c>
    </row>
    <row r="3" spans="1:4" ht="15.75" customHeight="1" x14ac:dyDescent="0.2">
      <c r="A3" s="1" t="s">
        <v>104</v>
      </c>
      <c r="B3">
        <v>10</v>
      </c>
      <c r="C3" s="1">
        <v>26</v>
      </c>
      <c r="D3">
        <f>SUM(B3:C3)</f>
        <v>36</v>
      </c>
    </row>
    <row r="4" spans="1:4" ht="15.75" customHeight="1" x14ac:dyDescent="0.2">
      <c r="A4" s="1" t="s">
        <v>105</v>
      </c>
      <c r="B4">
        <v>5</v>
      </c>
      <c r="C4" s="1">
        <v>11</v>
      </c>
      <c r="D4">
        <f>SUM(B4:C4)</f>
        <v>16</v>
      </c>
    </row>
    <row r="7" spans="1:4" ht="15.75" customHeight="1" x14ac:dyDescent="0.2">
      <c r="A7" s="4" t="s">
        <v>102</v>
      </c>
      <c r="B7" s="158">
        <f>B2/D2</f>
        <v>0.72916666666666663</v>
      </c>
    </row>
    <row r="8" spans="1:4" ht="15.75" customHeight="1" x14ac:dyDescent="0.2">
      <c r="A8" s="4" t="s">
        <v>104</v>
      </c>
      <c r="B8" s="158">
        <f>B3/D3</f>
        <v>0.27777777777777779</v>
      </c>
    </row>
    <row r="9" spans="1:4" ht="15.75" customHeight="1" x14ac:dyDescent="0.2">
      <c r="A9" s="4" t="s">
        <v>105</v>
      </c>
      <c r="B9" s="158">
        <f>B4/D4</f>
        <v>0.3125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1004"/>
  <sheetViews>
    <sheetView zoomScale="80" zoomScaleNormal="80" workbookViewId="0">
      <pane ySplit="1" topLeftCell="A2" activePane="bottomLeft" state="frozen"/>
      <selection activeCell="C291" sqref="C291"/>
      <selection pane="bottomLeft" activeCell="A93" sqref="A93"/>
    </sheetView>
  </sheetViews>
  <sheetFormatPr defaultColWidth="14.42578125" defaultRowHeight="15.75" customHeight="1" x14ac:dyDescent="0.2"/>
  <cols>
    <col min="1" max="1" width="59" style="72" customWidth="1"/>
    <col min="2" max="2" width="10.42578125" style="137" customWidth="1"/>
    <col min="3" max="3" width="7.5703125" style="72" customWidth="1"/>
    <col min="4" max="5" width="10.42578125" style="72" customWidth="1"/>
    <col min="6" max="6" width="10.7109375" style="72" customWidth="1"/>
    <col min="7" max="7" width="14.28515625" style="72" customWidth="1"/>
    <col min="8" max="8" width="25.5703125" style="136" customWidth="1"/>
    <col min="9" max="9" width="13.28515625" style="72" customWidth="1"/>
    <col min="10" max="10" width="30.140625" style="136" customWidth="1"/>
    <col min="11" max="16384" width="14.42578125" style="72"/>
  </cols>
  <sheetData>
    <row r="1" spans="1:10" s="272" customFormat="1" ht="38.25" x14ac:dyDescent="0.2">
      <c r="A1" s="466" t="s">
        <v>5</v>
      </c>
      <c r="B1" s="466" t="s">
        <v>3</v>
      </c>
      <c r="C1" s="466" t="s">
        <v>0</v>
      </c>
      <c r="D1" s="466" t="s">
        <v>4</v>
      </c>
      <c r="E1" s="466" t="s">
        <v>460</v>
      </c>
      <c r="F1" s="466" t="s">
        <v>1</v>
      </c>
      <c r="G1" s="466" t="s">
        <v>401</v>
      </c>
      <c r="H1" s="466" t="s">
        <v>357</v>
      </c>
      <c r="I1" s="466" t="s">
        <v>455</v>
      </c>
      <c r="J1" s="466" t="s">
        <v>363</v>
      </c>
    </row>
    <row r="2" spans="1:10" s="455" customFormat="1" ht="12.75" x14ac:dyDescent="0.2">
      <c r="A2" s="90" t="s">
        <v>453</v>
      </c>
      <c r="B2" s="90" t="s">
        <v>350</v>
      </c>
      <c r="C2" s="90">
        <v>2018</v>
      </c>
      <c r="D2" s="90" t="s">
        <v>7</v>
      </c>
      <c r="E2" s="90" t="s">
        <v>12</v>
      </c>
      <c r="F2" s="90" t="s">
        <v>12</v>
      </c>
      <c r="G2" s="138">
        <v>846</v>
      </c>
      <c r="H2" t="s">
        <v>454</v>
      </c>
      <c r="I2" s="90">
        <f>74+39+34+24+7+5</f>
        <v>183</v>
      </c>
      <c r="J2" s="92" t="s">
        <v>456</v>
      </c>
    </row>
    <row r="3" spans="1:10" ht="12.75" x14ac:dyDescent="0.2">
      <c r="A3" s="90" t="s">
        <v>330</v>
      </c>
      <c r="B3" s="90" t="s">
        <v>350</v>
      </c>
      <c r="C3" s="90">
        <v>2018</v>
      </c>
      <c r="D3" s="90" t="s">
        <v>7</v>
      </c>
      <c r="E3" s="90" t="s">
        <v>12</v>
      </c>
      <c r="F3" s="90" t="s">
        <v>12</v>
      </c>
      <c r="G3" s="138">
        <v>1400</v>
      </c>
      <c r="H3" s="92" t="s">
        <v>358</v>
      </c>
      <c r="I3" s="161">
        <f>48+28.3+47.3+16.8+68.2+43.4+24.9+163+85.9+34.99+45.8+7.2+39.98+19+0.996+150+24+15+330+26+416+16.8+16.8+32.6+0.2+14.1+34+48.6+29.5+0.334+0.71+0.996315+8.2+24.1+21.3+32.6+43.4+6.3+4+4.8+0.134741+11.5+34.3+39.98</f>
        <v>2060.0210559999996</v>
      </c>
      <c r="J3" s="193" t="s">
        <v>331</v>
      </c>
    </row>
    <row r="4" spans="1:10" ht="12.75" x14ac:dyDescent="0.2">
      <c r="A4" s="90" t="s">
        <v>88</v>
      </c>
      <c r="B4" s="90" t="s">
        <v>85</v>
      </c>
      <c r="C4" s="90">
        <v>2018</v>
      </c>
      <c r="D4" s="90" t="s">
        <v>16</v>
      </c>
      <c r="E4" s="90" t="s">
        <v>12</v>
      </c>
      <c r="F4" s="90" t="s">
        <v>12</v>
      </c>
      <c r="G4" s="138">
        <v>1300</v>
      </c>
      <c r="H4" s="90" t="s">
        <v>318</v>
      </c>
      <c r="I4" s="161">
        <v>750</v>
      </c>
      <c r="J4" s="161" t="s">
        <v>319</v>
      </c>
    </row>
    <row r="5" spans="1:10" ht="12.75" x14ac:dyDescent="0.2">
      <c r="A5" s="90" t="s">
        <v>69</v>
      </c>
      <c r="B5" s="90" t="s">
        <v>350</v>
      </c>
      <c r="C5" s="90">
        <v>2018</v>
      </c>
      <c r="D5" s="90" t="s">
        <v>7</v>
      </c>
      <c r="E5" s="90" t="s">
        <v>12</v>
      </c>
      <c r="F5" s="90" t="s">
        <v>12</v>
      </c>
      <c r="G5" s="138">
        <f>Table6[[#This Row],[Spending directly evaluated (£m)]]</f>
        <v>806.8</v>
      </c>
      <c r="H5" s="140" t="s">
        <v>320</v>
      </c>
      <c r="I5" s="139">
        <f>25+22+53.8+48.2+23.8+85+68+223+38+120+100</f>
        <v>806.8</v>
      </c>
      <c r="J5" s="139" t="s">
        <v>320</v>
      </c>
    </row>
    <row r="6" spans="1:10" ht="12.75" x14ac:dyDescent="0.2">
      <c r="A6" s="90" t="s">
        <v>36</v>
      </c>
      <c r="B6" s="90" t="s">
        <v>351</v>
      </c>
      <c r="C6" s="90">
        <v>2018</v>
      </c>
      <c r="D6" s="90" t="s">
        <v>63</v>
      </c>
      <c r="E6" s="90" t="s">
        <v>12</v>
      </c>
      <c r="F6" s="90" t="s">
        <v>12</v>
      </c>
      <c r="G6" s="139">
        <f>8+11*0.13+5*0.12+3+8+13+100*0.15+105*0.1+46*0.1+2+6*0.4+300*0.15+5*0.1</f>
        <v>114.03</v>
      </c>
      <c r="H6" s="90" t="s">
        <v>359</v>
      </c>
      <c r="I6" s="180">
        <f>8+11*0.13+5*0.12+3+8+13+100*0.15+105*0.1+46*0.1+2+6*0.4+300*0.15+5*0.1</f>
        <v>114.03</v>
      </c>
      <c r="J6" s="90" t="s">
        <v>321</v>
      </c>
    </row>
    <row r="7" spans="1:10" ht="12.75" x14ac:dyDescent="0.2">
      <c r="A7" s="90" t="s">
        <v>65</v>
      </c>
      <c r="B7" s="90" t="s">
        <v>350</v>
      </c>
      <c r="C7" s="90">
        <v>2018</v>
      </c>
      <c r="D7" s="90" t="s">
        <v>63</v>
      </c>
      <c r="E7" s="90" t="s">
        <v>12</v>
      </c>
      <c r="F7" s="90" t="s">
        <v>12</v>
      </c>
      <c r="G7" s="138">
        <f>Table6[[#This Row],[Spending directly evaluated (£m)]]</f>
        <v>3649.1700000000005</v>
      </c>
      <c r="H7" s="90" t="s">
        <v>322</v>
      </c>
      <c r="I7" s="180">
        <f>100+38.4+384.2+200.4+39.1+265.1+70+16+27.4+7.7+17.4+25+5.7+133.2+56.5+38.17+2.3+106.7+30.8+26.6+100.5+39.9+29.2+17+56.9+757.4+772+285.6</f>
        <v>3649.1700000000005</v>
      </c>
      <c r="J7" s="139" t="s">
        <v>322</v>
      </c>
    </row>
    <row r="8" spans="1:10" ht="12.75" x14ac:dyDescent="0.2">
      <c r="A8" s="90" t="s">
        <v>60</v>
      </c>
      <c r="B8" s="90" t="s">
        <v>350</v>
      </c>
      <c r="C8" s="90">
        <v>2018</v>
      </c>
      <c r="D8" s="90" t="s">
        <v>7</v>
      </c>
      <c r="E8" s="90" t="s">
        <v>12</v>
      </c>
      <c r="F8" s="90" t="s">
        <v>12</v>
      </c>
      <c r="G8" s="138">
        <f>1271.1+93.7</f>
        <v>1364.8</v>
      </c>
      <c r="H8" s="92" t="s">
        <v>323</v>
      </c>
      <c r="I8" s="180">
        <f>34.4+0.8+2+6.5+17.8+19.7+12.1+68.1+15.5+35.2+3.6+8.3+2.7+0.7+45.5+90.1+0.5+29.2+5.9+12.6+0.3+5.5+0.3+5.7+59.8+39.3+4.8+3.6+2+12+9.1+11+12.6+29.5+0.1+13.6+32.7+10.7+77.1+28+0.3+13.1+9+30.6+7.3+7.3+46.8+2.2</f>
        <v>885.50000000000011</v>
      </c>
      <c r="J8" s="140" t="s">
        <v>324</v>
      </c>
    </row>
    <row r="9" spans="1:10" ht="12.75" x14ac:dyDescent="0.2">
      <c r="A9" s="90" t="s">
        <v>87</v>
      </c>
      <c r="B9" s="90" t="s">
        <v>350</v>
      </c>
      <c r="C9" s="90">
        <v>2018</v>
      </c>
      <c r="D9" s="90" t="s">
        <v>7</v>
      </c>
      <c r="E9" s="90" t="s">
        <v>12</v>
      </c>
      <c r="F9" s="90" t="s">
        <v>12</v>
      </c>
      <c r="G9" s="138">
        <v>3900</v>
      </c>
      <c r="H9" s="90" t="s">
        <v>360</v>
      </c>
      <c r="I9" s="180">
        <v>1460</v>
      </c>
      <c r="J9" s="193" t="s">
        <v>325</v>
      </c>
    </row>
    <row r="10" spans="1:10" ht="12.75" x14ac:dyDescent="0.2">
      <c r="A10" s="90" t="s">
        <v>56</v>
      </c>
      <c r="B10" s="90" t="s">
        <v>350</v>
      </c>
      <c r="C10" s="90">
        <v>2018</v>
      </c>
      <c r="D10" s="90" t="s">
        <v>16</v>
      </c>
      <c r="E10" s="90" t="s">
        <v>11</v>
      </c>
      <c r="F10" s="90" t="s">
        <v>12</v>
      </c>
      <c r="G10" s="138">
        <f>68.7+121.5</f>
        <v>190.2</v>
      </c>
      <c r="H10" s="91" t="s">
        <v>327</v>
      </c>
      <c r="I10" s="180">
        <f>(4.4+4.5+6.1+10.4+13.1+24.3+19+25.3+21+21+4.4+5.4)*0.2</f>
        <v>31.78</v>
      </c>
      <c r="J10" s="142" t="s">
        <v>326</v>
      </c>
    </row>
    <row r="11" spans="1:10" ht="12.75" x14ac:dyDescent="0.2">
      <c r="A11" s="90" t="s">
        <v>56</v>
      </c>
      <c r="B11" s="90" t="s">
        <v>350</v>
      </c>
      <c r="C11" s="90">
        <v>2018</v>
      </c>
      <c r="D11" s="90" t="s">
        <v>16</v>
      </c>
      <c r="E11" s="90" t="s">
        <v>11</v>
      </c>
      <c r="F11" s="90" t="s">
        <v>11</v>
      </c>
      <c r="G11" s="141">
        <f>431+240.2</f>
        <v>671.2</v>
      </c>
      <c r="H11" s="92" t="s">
        <v>327</v>
      </c>
      <c r="I11" s="180">
        <f>(4.4+4.5+6.1+10.4+13.1+24.3+19+25.3+21+21+4.4+5.4)*0.72</f>
        <v>114.408</v>
      </c>
      <c r="J11" s="139" t="s">
        <v>326</v>
      </c>
    </row>
    <row r="12" spans="1:10" ht="12.75" x14ac:dyDescent="0.2">
      <c r="A12" s="90" t="s">
        <v>56</v>
      </c>
      <c r="B12" s="90" t="s">
        <v>350</v>
      </c>
      <c r="C12" s="90">
        <v>2018</v>
      </c>
      <c r="D12" s="90" t="s">
        <v>16</v>
      </c>
      <c r="E12" s="90" t="s">
        <v>11</v>
      </c>
      <c r="F12" s="90" t="s">
        <v>13</v>
      </c>
      <c r="G12" s="138">
        <f>0.7+17</f>
        <v>17.7</v>
      </c>
      <c r="H12" s="91" t="s">
        <v>327</v>
      </c>
      <c r="I12" s="180">
        <v>0</v>
      </c>
      <c r="J12" s="139" t="s">
        <v>326</v>
      </c>
    </row>
    <row r="13" spans="1:10" ht="12.75" x14ac:dyDescent="0.2">
      <c r="A13" s="90" t="s">
        <v>56</v>
      </c>
      <c r="B13" s="90" t="s">
        <v>350</v>
      </c>
      <c r="C13" s="90">
        <v>2018</v>
      </c>
      <c r="D13" s="90" t="s">
        <v>16</v>
      </c>
      <c r="E13" s="90" t="s">
        <v>11</v>
      </c>
      <c r="F13" s="90" t="s">
        <v>34</v>
      </c>
      <c r="G13" s="138">
        <f>4.4+13.6</f>
        <v>18</v>
      </c>
      <c r="H13" s="90" t="s">
        <v>327</v>
      </c>
      <c r="I13" s="180">
        <v>0</v>
      </c>
      <c r="J13" s="139" t="s">
        <v>326</v>
      </c>
    </row>
    <row r="14" spans="1:10" ht="10.5" customHeight="1" x14ac:dyDescent="0.2">
      <c r="A14" s="90" t="s">
        <v>56</v>
      </c>
      <c r="B14" s="90" t="s">
        <v>350</v>
      </c>
      <c r="C14" s="90">
        <v>2018</v>
      </c>
      <c r="D14" s="90" t="s">
        <v>16</v>
      </c>
      <c r="E14" s="90" t="s">
        <v>11</v>
      </c>
      <c r="F14" s="90" t="s">
        <v>211</v>
      </c>
      <c r="G14" s="138">
        <f>15.8+9.3</f>
        <v>25.1</v>
      </c>
      <c r="H14" s="90" t="s">
        <v>327</v>
      </c>
      <c r="I14" s="180">
        <f>(4.4+4.5+6.1+10.4+13.1+24.3+19+25.3+21+21+4.4+5.4)*0.08</f>
        <v>12.712000000000002</v>
      </c>
      <c r="J14" s="139" t="s">
        <v>326</v>
      </c>
    </row>
    <row r="15" spans="1:10" ht="13.5" thickBot="1" x14ac:dyDescent="0.25">
      <c r="A15" s="90" t="s">
        <v>71</v>
      </c>
      <c r="B15" s="90" t="s">
        <v>86</v>
      </c>
      <c r="C15" s="90">
        <v>2018</v>
      </c>
      <c r="D15" s="90" t="s">
        <v>7</v>
      </c>
      <c r="E15" s="90" t="s">
        <v>12</v>
      </c>
      <c r="F15" s="90" t="s">
        <v>12</v>
      </c>
      <c r="G15" s="138">
        <f>154+1000</f>
        <v>1154</v>
      </c>
      <c r="H15" s="90" t="s">
        <v>361</v>
      </c>
      <c r="I15" s="180">
        <f>58+55+6.2+1000</f>
        <v>1119.2</v>
      </c>
      <c r="J15" s="139" t="s">
        <v>362</v>
      </c>
    </row>
    <row r="16" spans="1:10" ht="13.5" thickBot="1" x14ac:dyDescent="0.25">
      <c r="A16" s="90" t="s">
        <v>71</v>
      </c>
      <c r="B16" s="90" t="s">
        <v>86</v>
      </c>
      <c r="C16" s="90">
        <v>2018</v>
      </c>
      <c r="D16" s="90" t="s">
        <v>7</v>
      </c>
      <c r="E16" s="90" t="s">
        <v>12</v>
      </c>
      <c r="F16" s="90" t="s">
        <v>389</v>
      </c>
      <c r="G16" s="138">
        <v>477</v>
      </c>
      <c r="H16" s="90" t="s">
        <v>361</v>
      </c>
      <c r="I16" s="180">
        <f>16+265+110+20</f>
        <v>411</v>
      </c>
      <c r="J16" s="163" t="s">
        <v>362</v>
      </c>
    </row>
    <row r="17" spans="1:10" ht="12.75" x14ac:dyDescent="0.2">
      <c r="A17" s="92" t="s">
        <v>73</v>
      </c>
      <c r="B17" s="92" t="s">
        <v>350</v>
      </c>
      <c r="C17" s="92">
        <v>2018</v>
      </c>
      <c r="D17" s="92" t="s">
        <v>7</v>
      </c>
      <c r="E17" s="90" t="s">
        <v>12</v>
      </c>
      <c r="F17" s="90" t="s">
        <v>12</v>
      </c>
      <c r="G17" s="141">
        <v>910</v>
      </c>
      <c r="H17" s="92" t="s">
        <v>328</v>
      </c>
      <c r="I17" s="181">
        <f>58.9+55.9+27.9+34+101.1+174.7+37.1</f>
        <v>489.59999999999997</v>
      </c>
      <c r="J17" s="140" t="s">
        <v>329</v>
      </c>
    </row>
    <row r="18" spans="1:10" ht="12.75" x14ac:dyDescent="0.2">
      <c r="A18" s="92" t="s">
        <v>41</v>
      </c>
      <c r="B18" s="92" t="s">
        <v>86</v>
      </c>
      <c r="C18" s="92">
        <v>2017</v>
      </c>
      <c r="D18" s="92" t="s">
        <v>7</v>
      </c>
      <c r="E18" s="90" t="s">
        <v>12</v>
      </c>
      <c r="F18" s="90" t="s">
        <v>12</v>
      </c>
      <c r="G18" s="141">
        <v>1777</v>
      </c>
      <c r="H18" s="92" t="s">
        <v>306</v>
      </c>
      <c r="I18" s="181">
        <f>14.6+75+18+35+68.2+69.9+16+15+18.1+25.8+25+100</f>
        <v>480.60000000000008</v>
      </c>
      <c r="J18" s="140" t="s">
        <v>305</v>
      </c>
    </row>
    <row r="19" spans="1:10" ht="12.75" x14ac:dyDescent="0.2">
      <c r="A19" s="92" t="s">
        <v>51</v>
      </c>
      <c r="B19" s="90" t="s">
        <v>351</v>
      </c>
      <c r="C19" s="92">
        <v>2017</v>
      </c>
      <c r="D19" s="92" t="s">
        <v>63</v>
      </c>
      <c r="E19" s="90" t="s">
        <v>9</v>
      </c>
      <c r="F19" s="90" t="s">
        <v>9</v>
      </c>
      <c r="G19" s="141">
        <v>1500</v>
      </c>
      <c r="H19" s="92" t="s">
        <v>307</v>
      </c>
      <c r="I19" s="181">
        <v>1300</v>
      </c>
      <c r="J19" s="140" t="s">
        <v>308</v>
      </c>
    </row>
    <row r="20" spans="1:10" ht="12.75" x14ac:dyDescent="0.2">
      <c r="A20" s="91" t="s">
        <v>53</v>
      </c>
      <c r="B20" s="90" t="s">
        <v>351</v>
      </c>
      <c r="C20" s="91">
        <v>2017</v>
      </c>
      <c r="D20" s="91" t="s">
        <v>63</v>
      </c>
      <c r="E20" s="90" t="s">
        <v>11</v>
      </c>
      <c r="F20" s="90" t="s">
        <v>12</v>
      </c>
      <c r="G20" s="143">
        <v>1108.3</v>
      </c>
      <c r="H20" s="91" t="s">
        <v>309</v>
      </c>
      <c r="I20" s="182">
        <v>260</v>
      </c>
      <c r="J20" s="142" t="s">
        <v>310</v>
      </c>
    </row>
    <row r="21" spans="1:10" ht="10.5" customHeight="1" x14ac:dyDescent="0.2">
      <c r="A21" s="91" t="s">
        <v>53</v>
      </c>
      <c r="B21" s="90" t="s">
        <v>351</v>
      </c>
      <c r="C21" s="91">
        <v>2017</v>
      </c>
      <c r="D21" s="91" t="s">
        <v>63</v>
      </c>
      <c r="E21" s="90" t="s">
        <v>11</v>
      </c>
      <c r="F21" s="90" t="s">
        <v>11</v>
      </c>
      <c r="G21" s="143">
        <v>1108.3</v>
      </c>
      <c r="H21" s="91" t="s">
        <v>309</v>
      </c>
      <c r="I21" s="182">
        <v>590</v>
      </c>
      <c r="J21" s="142" t="s">
        <v>310</v>
      </c>
    </row>
    <row r="22" spans="1:10" s="137" customFormat="1" ht="12.75" x14ac:dyDescent="0.2">
      <c r="A22" s="91" t="s">
        <v>43</v>
      </c>
      <c r="B22" s="92" t="s">
        <v>85</v>
      </c>
      <c r="C22" s="91">
        <v>2017</v>
      </c>
      <c r="D22" s="91" t="s">
        <v>7</v>
      </c>
      <c r="E22" s="90" t="s">
        <v>12</v>
      </c>
      <c r="F22" s="90" t="s">
        <v>12</v>
      </c>
      <c r="G22" s="142">
        <f>83.5+16.9+223+72+68+276+38.2+152.1+36.5+64.5+300.3+34+62.4+50+57.1+50.5+38+38.4</f>
        <v>1661.4</v>
      </c>
      <c r="H22" s="142" t="s">
        <v>312</v>
      </c>
      <c r="I22" s="182">
        <f>83.5+16.9+223+72+68+276+38.2+152.1+36.5+64.5+300.3+34+62.4+50+57.1+50.5+38+38.4</f>
        <v>1661.4</v>
      </c>
      <c r="J22" s="142" t="s">
        <v>311</v>
      </c>
    </row>
    <row r="23" spans="1:10" ht="12.75" x14ac:dyDescent="0.2">
      <c r="A23" s="91" t="s">
        <v>48</v>
      </c>
      <c r="B23" s="90" t="s">
        <v>351</v>
      </c>
      <c r="C23" s="91">
        <v>2017</v>
      </c>
      <c r="D23" s="91" t="s">
        <v>63</v>
      </c>
      <c r="E23" s="90" t="s">
        <v>2</v>
      </c>
      <c r="F23" s="90" t="s">
        <v>12</v>
      </c>
      <c r="G23" s="142">
        <f>38.3+2+6.4+10</f>
        <v>56.699999999999996</v>
      </c>
      <c r="H23" s="142" t="s">
        <v>313</v>
      </c>
      <c r="I23" s="182">
        <f>38.3+2+6.4+10</f>
        <v>56.699999999999996</v>
      </c>
      <c r="J23" s="142" t="s">
        <v>313</v>
      </c>
    </row>
    <row r="24" spans="1:10" ht="14.45" customHeight="1" x14ac:dyDescent="0.2">
      <c r="A24" s="91" t="s">
        <v>48</v>
      </c>
      <c r="B24" s="90" t="s">
        <v>351</v>
      </c>
      <c r="C24" s="91">
        <v>2017</v>
      </c>
      <c r="D24" s="91" t="s">
        <v>63</v>
      </c>
      <c r="E24" s="90" t="s">
        <v>2</v>
      </c>
      <c r="F24" s="90" t="s">
        <v>93</v>
      </c>
      <c r="G24" s="93" t="s">
        <v>20</v>
      </c>
      <c r="H24" s="91" t="s">
        <v>314</v>
      </c>
      <c r="I24" s="93" t="s">
        <v>20</v>
      </c>
      <c r="J24" s="91" t="s">
        <v>314</v>
      </c>
    </row>
    <row r="25" spans="1:10" ht="12.75" x14ac:dyDescent="0.2">
      <c r="A25" s="91" t="s">
        <v>48</v>
      </c>
      <c r="B25" s="90" t="s">
        <v>351</v>
      </c>
      <c r="C25" s="91">
        <v>2017</v>
      </c>
      <c r="D25" s="91" t="s">
        <v>63</v>
      </c>
      <c r="E25" s="90" t="s">
        <v>2</v>
      </c>
      <c r="F25" s="90" t="s">
        <v>211</v>
      </c>
      <c r="G25" s="142" t="s">
        <v>20</v>
      </c>
      <c r="H25" s="91" t="s">
        <v>315</v>
      </c>
      <c r="I25" s="142" t="s">
        <v>20</v>
      </c>
      <c r="J25" s="91" t="s">
        <v>315</v>
      </c>
    </row>
    <row r="26" spans="1:10" ht="12.75" x14ac:dyDescent="0.2">
      <c r="A26" s="91" t="s">
        <v>45</v>
      </c>
      <c r="B26" s="92" t="s">
        <v>350</v>
      </c>
      <c r="C26" s="91">
        <v>2017</v>
      </c>
      <c r="D26" s="91" t="s">
        <v>7</v>
      </c>
      <c r="E26" s="90" t="s">
        <v>12</v>
      </c>
      <c r="F26" s="90" t="s">
        <v>12</v>
      </c>
      <c r="G26" s="143">
        <f>(122+124+107+90+95+40+28)*0.9</f>
        <v>545.4</v>
      </c>
      <c r="H26" s="91" t="s">
        <v>316</v>
      </c>
      <c r="I26" s="91">
        <f>8+52.7+23+8+39.5+45.4+39+22.6+25+149.5+39.4+1.5+0.3+0.6</f>
        <v>454.5</v>
      </c>
      <c r="J26" s="91" t="s">
        <v>364</v>
      </c>
    </row>
    <row r="27" spans="1:10" ht="12.75" x14ac:dyDescent="0.2">
      <c r="A27" s="91" t="s">
        <v>45</v>
      </c>
      <c r="B27" s="92" t="s">
        <v>350</v>
      </c>
      <c r="C27" s="91">
        <v>2017</v>
      </c>
      <c r="D27" s="91" t="s">
        <v>7</v>
      </c>
      <c r="E27" s="90" t="s">
        <v>12</v>
      </c>
      <c r="F27" s="90" t="s">
        <v>11</v>
      </c>
      <c r="G27" s="143">
        <f>(122+124+107+90+95+40+28)*0.1</f>
        <v>60.6</v>
      </c>
      <c r="H27" s="91" t="s">
        <v>317</v>
      </c>
      <c r="I27" s="91">
        <f>1.2+0.15+0.27+0.11+0.25+0.45+0.46+1.1+3+1.8+1.6</f>
        <v>10.39</v>
      </c>
      <c r="J27" s="91" t="s">
        <v>364</v>
      </c>
    </row>
    <row r="28" spans="1:10" ht="12.75" x14ac:dyDescent="0.2">
      <c r="A28" s="92" t="s">
        <v>15</v>
      </c>
      <c r="B28" s="92" t="s">
        <v>350</v>
      </c>
      <c r="C28" s="92">
        <v>2016</v>
      </c>
      <c r="D28" s="92" t="s">
        <v>16</v>
      </c>
      <c r="E28" s="90" t="s">
        <v>12</v>
      </c>
      <c r="F28" s="90" t="s">
        <v>12</v>
      </c>
      <c r="G28" s="141">
        <f>1200+249+24</f>
        <v>1473</v>
      </c>
      <c r="H28" s="92" t="s">
        <v>298</v>
      </c>
      <c r="I28" s="140">
        <f>238+180+101+92+60+5+11+3+1+54</f>
        <v>745</v>
      </c>
      <c r="J28" s="140" t="s">
        <v>297</v>
      </c>
    </row>
    <row r="29" spans="1:10" ht="12.75" x14ac:dyDescent="0.2">
      <c r="A29" s="92" t="s">
        <v>24</v>
      </c>
      <c r="B29" s="92" t="s">
        <v>85</v>
      </c>
      <c r="C29" s="92">
        <v>2016</v>
      </c>
      <c r="D29" s="92" t="s">
        <v>7</v>
      </c>
      <c r="E29" s="92" t="s">
        <v>12</v>
      </c>
      <c r="F29" s="92" t="s">
        <v>12</v>
      </c>
      <c r="G29" s="141">
        <v>700</v>
      </c>
      <c r="H29" s="92" t="s">
        <v>299</v>
      </c>
      <c r="I29" s="140">
        <f>700*0.25+(164/3)</f>
        <v>229.66666666666666</v>
      </c>
      <c r="J29" s="140" t="s">
        <v>300</v>
      </c>
    </row>
    <row r="30" spans="1:10" ht="12.75" x14ac:dyDescent="0.2">
      <c r="A30" s="92" t="s">
        <v>32</v>
      </c>
      <c r="B30" s="92" t="s">
        <v>350</v>
      </c>
      <c r="C30" s="92">
        <v>2016</v>
      </c>
      <c r="D30" s="92" t="s">
        <v>7</v>
      </c>
      <c r="E30" s="90" t="s">
        <v>12</v>
      </c>
      <c r="F30" s="90" t="s">
        <v>12</v>
      </c>
      <c r="G30" s="141">
        <v>5500</v>
      </c>
      <c r="H30" s="92" t="s">
        <v>301</v>
      </c>
      <c r="I30" s="140">
        <f>172+134+130+208+90</f>
        <v>734</v>
      </c>
      <c r="J30" s="140" t="s">
        <v>365</v>
      </c>
    </row>
    <row r="31" spans="1:10" ht="12.75" x14ac:dyDescent="0.2">
      <c r="A31" s="91" t="s">
        <v>26</v>
      </c>
      <c r="B31" s="91" t="s">
        <v>86</v>
      </c>
      <c r="C31" s="91">
        <v>2016</v>
      </c>
      <c r="D31" s="91" t="s">
        <v>27</v>
      </c>
      <c r="E31" s="92" t="s">
        <v>12</v>
      </c>
      <c r="F31" s="92" t="s">
        <v>12</v>
      </c>
      <c r="G31" s="143">
        <f>Table6[[#This Row],[Spending directly evaluated (£m)]]</f>
        <v>184</v>
      </c>
      <c r="H31" s="91" t="s">
        <v>302</v>
      </c>
      <c r="I31" s="142">
        <v>184</v>
      </c>
      <c r="J31" s="142" t="s">
        <v>302</v>
      </c>
    </row>
    <row r="32" spans="1:10" ht="12.75" x14ac:dyDescent="0.2">
      <c r="A32" s="92" t="s">
        <v>30</v>
      </c>
      <c r="B32" s="92" t="s">
        <v>86</v>
      </c>
      <c r="C32" s="92">
        <v>2016</v>
      </c>
      <c r="D32" s="92" t="s">
        <v>16</v>
      </c>
      <c r="E32" s="92" t="s">
        <v>12</v>
      </c>
      <c r="F32" s="92" t="s">
        <v>12</v>
      </c>
      <c r="G32" s="141">
        <f>Table6[[#This Row],[Spending directly evaluated (£m)]]</f>
        <v>38.9</v>
      </c>
      <c r="H32" s="142" t="s">
        <v>303</v>
      </c>
      <c r="I32" s="142">
        <v>38.9</v>
      </c>
      <c r="J32" s="142" t="s">
        <v>303</v>
      </c>
    </row>
    <row r="33" spans="1:10" ht="15" customHeight="1" x14ac:dyDescent="0.2">
      <c r="A33" s="92" t="s">
        <v>19</v>
      </c>
      <c r="B33" s="92" t="s">
        <v>350</v>
      </c>
      <c r="C33" s="92">
        <v>2016</v>
      </c>
      <c r="D33" s="92" t="s">
        <v>16</v>
      </c>
      <c r="E33" s="92" t="s">
        <v>12</v>
      </c>
      <c r="F33" s="92" t="s">
        <v>12</v>
      </c>
      <c r="G33" s="141">
        <f>Table6[[#This Row],[Spending directly evaluated (£m)]]</f>
        <v>266.50979999999998</v>
      </c>
      <c r="H33" s="140" t="s">
        <v>304</v>
      </c>
      <c r="I33" s="140">
        <f>(-33505.2+188040.2+91019.8+10407.9+4780.6+14227+1563.1+11380.2+-29443.1+1246.1+685.3+6006.2+101.7)/1000</f>
        <v>266.50979999999998</v>
      </c>
      <c r="J33" s="140" t="s">
        <v>304</v>
      </c>
    </row>
    <row r="34" spans="1:10" ht="12.75" x14ac:dyDescent="0.2">
      <c r="A34" s="92" t="s">
        <v>80</v>
      </c>
      <c r="B34" s="92"/>
      <c r="C34" s="92">
        <v>2015</v>
      </c>
      <c r="D34" s="92" t="s">
        <v>63</v>
      </c>
      <c r="E34" s="92" t="s">
        <v>81</v>
      </c>
      <c r="F34" s="92" t="s">
        <v>81</v>
      </c>
      <c r="G34" s="141" t="s">
        <v>20</v>
      </c>
      <c r="H34" s="92"/>
      <c r="I34" s="140" t="s">
        <v>20</v>
      </c>
      <c r="J34" s="140"/>
    </row>
    <row r="35" spans="1:10" ht="12.75" x14ac:dyDescent="0.2">
      <c r="A35" s="92" t="s">
        <v>82</v>
      </c>
      <c r="B35" s="92"/>
      <c r="C35" s="92">
        <v>2015</v>
      </c>
      <c r="D35" s="92" t="s">
        <v>16</v>
      </c>
      <c r="E35" s="92" t="s">
        <v>12</v>
      </c>
      <c r="F35" s="92" t="s">
        <v>12</v>
      </c>
      <c r="G35" s="141">
        <v>3400</v>
      </c>
      <c r="H35" s="92" t="s">
        <v>366</v>
      </c>
      <c r="I35" s="140">
        <f>23+25+38+31.5+145+100+80+180+61+106+159</f>
        <v>948.5</v>
      </c>
      <c r="J35" s="140" t="s">
        <v>295</v>
      </c>
    </row>
    <row r="36" spans="1:10" ht="12.75" x14ac:dyDescent="0.2">
      <c r="A36" s="92" t="s">
        <v>78</v>
      </c>
      <c r="B36" s="92"/>
      <c r="C36" s="92">
        <v>2015</v>
      </c>
      <c r="D36" s="92" t="s">
        <v>16</v>
      </c>
      <c r="E36" s="92" t="s">
        <v>12</v>
      </c>
      <c r="F36" s="92" t="s">
        <v>12</v>
      </c>
      <c r="G36" s="141">
        <v>494</v>
      </c>
      <c r="H36" s="92" t="s">
        <v>368</v>
      </c>
      <c r="I36" s="140">
        <f>11.6+35+22+17.25+9.5+4.73+0.25+0.25+0.15+2.8+7.4+35+10+40+36+2.6+3.6</f>
        <v>238.13</v>
      </c>
      <c r="J36" s="140" t="s">
        <v>296</v>
      </c>
    </row>
    <row r="37" spans="1:10" ht="12.75" x14ac:dyDescent="0.2">
      <c r="A37" s="92" t="s">
        <v>77</v>
      </c>
      <c r="B37" s="92"/>
      <c r="C37" s="92">
        <v>2015</v>
      </c>
      <c r="D37" s="92" t="s">
        <v>7</v>
      </c>
      <c r="E37" s="92" t="s">
        <v>12</v>
      </c>
      <c r="F37" s="92" t="s">
        <v>12</v>
      </c>
      <c r="G37" s="141">
        <v>6300</v>
      </c>
      <c r="H37" s="164" t="s">
        <v>367</v>
      </c>
      <c r="I37" s="142">
        <f>(183094+35136+26472+59326)/1000</f>
        <v>304.02800000000002</v>
      </c>
      <c r="J37" s="140" t="s">
        <v>369</v>
      </c>
    </row>
    <row r="38" spans="1:10" ht="12.75" x14ac:dyDescent="0.2">
      <c r="A38" s="91" t="s">
        <v>79</v>
      </c>
      <c r="B38" s="91"/>
      <c r="C38" s="91">
        <v>2015</v>
      </c>
      <c r="D38" s="91" t="s">
        <v>16</v>
      </c>
      <c r="E38" s="92" t="s">
        <v>12</v>
      </c>
      <c r="F38" s="92" t="s">
        <v>12</v>
      </c>
      <c r="G38" s="143">
        <f>62.5+60.7+52.2+35</f>
        <v>210.4</v>
      </c>
      <c r="H38" s="91" t="s">
        <v>370</v>
      </c>
      <c r="I38" s="142">
        <f>33.6+18.5+16.4</f>
        <v>68.5</v>
      </c>
      <c r="J38" s="142" t="s">
        <v>371</v>
      </c>
    </row>
    <row r="39" spans="1:10" ht="12.75" x14ac:dyDescent="0.2">
      <c r="A39" s="92" t="s">
        <v>68</v>
      </c>
      <c r="B39" s="92"/>
      <c r="C39" s="92">
        <v>2014</v>
      </c>
      <c r="D39" s="92" t="s">
        <v>16</v>
      </c>
      <c r="E39" s="92" t="s">
        <v>12</v>
      </c>
      <c r="F39" s="92" t="s">
        <v>12</v>
      </c>
      <c r="G39" s="141">
        <v>22</v>
      </c>
      <c r="H39" s="140" t="s">
        <v>286</v>
      </c>
      <c r="I39" s="140">
        <v>22</v>
      </c>
      <c r="J39" s="140" t="s">
        <v>285</v>
      </c>
    </row>
    <row r="40" spans="1:10" ht="12.75" x14ac:dyDescent="0.2">
      <c r="A40" s="92" t="s">
        <v>76</v>
      </c>
      <c r="B40" s="92"/>
      <c r="C40" s="92">
        <v>2014</v>
      </c>
      <c r="D40" s="92" t="s">
        <v>16</v>
      </c>
      <c r="E40" s="92" t="s">
        <v>12</v>
      </c>
      <c r="F40" s="92" t="s">
        <v>12</v>
      </c>
      <c r="G40" s="141">
        <f>190/3</f>
        <v>63.333333333333336</v>
      </c>
      <c r="H40" s="92" t="s">
        <v>373</v>
      </c>
      <c r="I40" s="142">
        <f>19.3+20.6+36+7.7+14.2</f>
        <v>97.800000000000011</v>
      </c>
      <c r="J40" s="142" t="s">
        <v>287</v>
      </c>
    </row>
    <row r="41" spans="1:10" ht="12.75" x14ac:dyDescent="0.2">
      <c r="A41" s="92" t="s">
        <v>70</v>
      </c>
      <c r="B41" s="92"/>
      <c r="C41" s="92">
        <v>2014</v>
      </c>
      <c r="D41" s="92" t="s">
        <v>7</v>
      </c>
      <c r="E41" s="92" t="s">
        <v>12</v>
      </c>
      <c r="F41" s="92" t="s">
        <v>12</v>
      </c>
      <c r="G41" s="141">
        <v>192.8</v>
      </c>
      <c r="H41" s="92" t="s">
        <v>349</v>
      </c>
      <c r="I41" s="142">
        <f>14.5+19+37.6+120+75+13.5</f>
        <v>279.60000000000002</v>
      </c>
      <c r="J41" s="142" t="s">
        <v>288</v>
      </c>
    </row>
    <row r="42" spans="1:10" ht="12.75" x14ac:dyDescent="0.2">
      <c r="A42" s="91" t="s">
        <v>74</v>
      </c>
      <c r="B42" s="91"/>
      <c r="C42" s="91">
        <v>2014</v>
      </c>
      <c r="D42" s="91" t="s">
        <v>7</v>
      </c>
      <c r="E42" s="92" t="s">
        <v>12</v>
      </c>
      <c r="F42" s="92" t="s">
        <v>12</v>
      </c>
      <c r="G42" s="143">
        <v>37</v>
      </c>
      <c r="H42" s="91" t="s">
        <v>372</v>
      </c>
      <c r="I42" s="142">
        <v>163</v>
      </c>
      <c r="J42" s="142" t="s">
        <v>289</v>
      </c>
    </row>
    <row r="43" spans="1:10" ht="12.75" x14ac:dyDescent="0.2">
      <c r="A43" s="91" t="s">
        <v>72</v>
      </c>
      <c r="B43" s="91"/>
      <c r="C43" s="91">
        <v>2014</v>
      </c>
      <c r="D43" s="91" t="s">
        <v>16</v>
      </c>
      <c r="E43" s="92" t="s">
        <v>12</v>
      </c>
      <c r="F43" s="92" t="s">
        <v>12</v>
      </c>
      <c r="G43" s="143">
        <v>1800</v>
      </c>
      <c r="H43" s="91" t="s">
        <v>290</v>
      </c>
      <c r="I43" s="142">
        <f>70+68+20+40+36+28+12+9+40+5</f>
        <v>328</v>
      </c>
      <c r="J43" s="142" t="s">
        <v>291</v>
      </c>
    </row>
    <row r="44" spans="1:10" ht="12.75" x14ac:dyDescent="0.2">
      <c r="A44" s="92" t="s">
        <v>75</v>
      </c>
      <c r="B44" s="92"/>
      <c r="C44" s="92">
        <v>2014</v>
      </c>
      <c r="D44" s="92" t="s">
        <v>27</v>
      </c>
      <c r="E44" s="92" t="s">
        <v>12</v>
      </c>
      <c r="F44" s="92" t="s">
        <v>12</v>
      </c>
      <c r="G44" s="141">
        <f>Table6[[#This Row],[Spending directly evaluated (£m)]]</f>
        <v>77</v>
      </c>
      <c r="H44" s="92" t="s">
        <v>292</v>
      </c>
      <c r="I44" s="142">
        <v>77</v>
      </c>
      <c r="J44" s="92" t="s">
        <v>292</v>
      </c>
    </row>
    <row r="45" spans="1:10" ht="12.75" x14ac:dyDescent="0.2">
      <c r="A45" s="92" t="s">
        <v>64</v>
      </c>
      <c r="B45" s="92"/>
      <c r="C45" s="92">
        <v>2014</v>
      </c>
      <c r="D45" s="92" t="s">
        <v>63</v>
      </c>
      <c r="E45" s="92" t="s">
        <v>12</v>
      </c>
      <c r="F45" s="92" t="s">
        <v>12</v>
      </c>
      <c r="G45" s="92" t="s">
        <v>20</v>
      </c>
      <c r="H45" s="92"/>
      <c r="I45" s="140" t="s">
        <v>20</v>
      </c>
      <c r="J45" s="140"/>
    </row>
    <row r="46" spans="1:10" ht="12.75" x14ac:dyDescent="0.2">
      <c r="A46" s="92" t="s">
        <v>66</v>
      </c>
      <c r="B46" s="92"/>
      <c r="C46" s="92">
        <v>2014</v>
      </c>
      <c r="D46" s="92" t="s">
        <v>7</v>
      </c>
      <c r="E46" s="71" t="s">
        <v>12</v>
      </c>
      <c r="F46" s="92" t="s">
        <v>67</v>
      </c>
      <c r="G46" s="92">
        <f>250+140+240+400+220</f>
        <v>1250</v>
      </c>
      <c r="H46" s="92" t="s">
        <v>294</v>
      </c>
      <c r="I46" s="92">
        <f>'ICF sample'!K54</f>
        <v>646.92000000000007</v>
      </c>
      <c r="J46" s="92" t="s">
        <v>293</v>
      </c>
    </row>
    <row r="47" spans="1:10" ht="12.75" x14ac:dyDescent="0.2">
      <c r="A47" s="92" t="s">
        <v>66</v>
      </c>
      <c r="B47" s="92"/>
      <c r="C47" s="92">
        <v>2014</v>
      </c>
      <c r="D47" s="92" t="s">
        <v>7</v>
      </c>
      <c r="E47" s="71" t="s">
        <v>12</v>
      </c>
      <c r="F47" s="92" t="s">
        <v>92</v>
      </c>
      <c r="G47" s="92">
        <v>140</v>
      </c>
      <c r="H47" s="92" t="s">
        <v>294</v>
      </c>
      <c r="I47" s="92">
        <f>'ICF sample'!L54</f>
        <v>23.96</v>
      </c>
      <c r="J47" s="92" t="s">
        <v>293</v>
      </c>
    </row>
    <row r="48" spans="1:10" ht="12.75" x14ac:dyDescent="0.2">
      <c r="A48" s="92" t="s">
        <v>66</v>
      </c>
      <c r="B48" s="92"/>
      <c r="C48" s="92">
        <v>2014</v>
      </c>
      <c r="D48" s="92" t="s">
        <v>7</v>
      </c>
      <c r="E48" s="71" t="s">
        <v>12</v>
      </c>
      <c r="F48" s="71" t="s">
        <v>12</v>
      </c>
      <c r="G48" s="92">
        <v>2800</v>
      </c>
      <c r="H48" s="92" t="s">
        <v>294</v>
      </c>
      <c r="I48" s="92">
        <f>'ICF sample'!M54</f>
        <v>527.12</v>
      </c>
      <c r="J48" s="92" t="s">
        <v>293</v>
      </c>
    </row>
    <row r="49" spans="1:10" ht="12.75" x14ac:dyDescent="0.2">
      <c r="A49" s="92" t="s">
        <v>54</v>
      </c>
      <c r="B49" s="92"/>
      <c r="C49" s="92">
        <v>2013</v>
      </c>
      <c r="D49" s="92" t="s">
        <v>7</v>
      </c>
      <c r="E49" s="92" t="s">
        <v>12</v>
      </c>
      <c r="F49" s="92" t="s">
        <v>12</v>
      </c>
      <c r="G49" s="141">
        <f>Table6[[#This Row],[Spending directly evaluated (£m)]]</f>
        <v>41</v>
      </c>
      <c r="H49" s="92" t="s">
        <v>266</v>
      </c>
      <c r="I49" s="142">
        <v>41</v>
      </c>
      <c r="J49" s="92" t="s">
        <v>266</v>
      </c>
    </row>
    <row r="50" spans="1:10" ht="12.75" x14ac:dyDescent="0.2">
      <c r="A50" s="91" t="s">
        <v>58</v>
      </c>
      <c r="B50" s="91"/>
      <c r="C50" s="91">
        <v>2013</v>
      </c>
      <c r="D50" s="91" t="s">
        <v>27</v>
      </c>
      <c r="E50" s="92" t="s">
        <v>12</v>
      </c>
      <c r="F50" s="92" t="s">
        <v>12</v>
      </c>
      <c r="G50" s="143">
        <f>Table6[[#This Row],[Spending directly evaluated (£m)]]</f>
        <v>135.178</v>
      </c>
      <c r="H50" s="91" t="s">
        <v>267</v>
      </c>
      <c r="I50" s="142">
        <f>80+34.1+11.3+4.95+3.2+0.532+0.834+0.177+0.085</f>
        <v>135.178</v>
      </c>
      <c r="J50" s="91" t="s">
        <v>267</v>
      </c>
    </row>
    <row r="51" spans="1:10" ht="12.75" x14ac:dyDescent="0.2">
      <c r="A51" s="92" t="s">
        <v>46</v>
      </c>
      <c r="B51" s="92"/>
      <c r="C51" s="92">
        <v>2013</v>
      </c>
      <c r="D51" s="92" t="s">
        <v>27</v>
      </c>
      <c r="E51" s="92" t="s">
        <v>12</v>
      </c>
      <c r="F51" s="92" t="s">
        <v>12</v>
      </c>
      <c r="G51" s="141">
        <f>Table6[[#This Row],[Spending directly evaluated (£m)]]</f>
        <v>32.75</v>
      </c>
      <c r="H51" s="92" t="s">
        <v>268</v>
      </c>
      <c r="I51" s="142">
        <v>32.75</v>
      </c>
      <c r="J51" s="92" t="s">
        <v>268</v>
      </c>
    </row>
    <row r="52" spans="1:10" ht="12.75" x14ac:dyDescent="0.2">
      <c r="A52" s="92" t="s">
        <v>49</v>
      </c>
      <c r="B52" s="92"/>
      <c r="C52" s="92">
        <v>2013</v>
      </c>
      <c r="D52" s="92" t="s">
        <v>7</v>
      </c>
      <c r="E52" s="92" t="s">
        <v>12</v>
      </c>
      <c r="F52" s="92" t="s">
        <v>12</v>
      </c>
      <c r="G52" s="141">
        <f>Table6[[#This Row],[Spending directly evaluated (£m)]]</f>
        <v>53</v>
      </c>
      <c r="H52" s="92" t="s">
        <v>269</v>
      </c>
      <c r="I52" s="142">
        <v>53</v>
      </c>
      <c r="J52" s="92" t="s">
        <v>269</v>
      </c>
    </row>
    <row r="53" spans="1:10" ht="12.75" x14ac:dyDescent="0.2">
      <c r="A53" s="91" t="s">
        <v>62</v>
      </c>
      <c r="B53" s="91"/>
      <c r="C53" s="91">
        <v>2013</v>
      </c>
      <c r="D53" s="91" t="s">
        <v>7</v>
      </c>
      <c r="E53" s="92" t="s">
        <v>12</v>
      </c>
      <c r="F53" s="92" t="s">
        <v>12</v>
      </c>
      <c r="G53" s="143">
        <v>120</v>
      </c>
      <c r="H53" s="91" t="s">
        <v>270</v>
      </c>
      <c r="I53" s="142">
        <f>17.9+4.7+3.1+3.7+2+0.5</f>
        <v>31.9</v>
      </c>
      <c r="J53" s="142" t="s">
        <v>271</v>
      </c>
    </row>
    <row r="54" spans="1:10" ht="12.75" x14ac:dyDescent="0.2">
      <c r="A54" s="91" t="s">
        <v>55</v>
      </c>
      <c r="B54" s="91"/>
      <c r="C54" s="91">
        <v>2013</v>
      </c>
      <c r="D54" s="91" t="s">
        <v>7</v>
      </c>
      <c r="E54" s="92" t="s">
        <v>12</v>
      </c>
      <c r="F54" s="92" t="s">
        <v>12</v>
      </c>
      <c r="G54" s="143">
        <v>173.2</v>
      </c>
      <c r="H54" s="91" t="s">
        <v>272</v>
      </c>
      <c r="I54" s="142">
        <f>110+106.5+14.6+14.4</f>
        <v>245.5</v>
      </c>
      <c r="J54" s="142" t="s">
        <v>273</v>
      </c>
    </row>
    <row r="55" spans="1:10" ht="12.75" x14ac:dyDescent="0.2">
      <c r="A55" s="91" t="s">
        <v>52</v>
      </c>
      <c r="B55" s="91"/>
      <c r="C55" s="91">
        <v>2013</v>
      </c>
      <c r="D55" s="91" t="s">
        <v>7</v>
      </c>
      <c r="E55" s="92" t="s">
        <v>12</v>
      </c>
      <c r="F55" s="92" t="s">
        <v>12</v>
      </c>
      <c r="G55" s="143">
        <v>350</v>
      </c>
      <c r="H55" s="91" t="s">
        <v>274</v>
      </c>
      <c r="I55" s="142">
        <f>120+34.4+8+13+20+30+42.5</f>
        <v>267.89999999999998</v>
      </c>
      <c r="J55" s="142" t="s">
        <v>275</v>
      </c>
    </row>
    <row r="56" spans="1:10" ht="12.75" x14ac:dyDescent="0.2">
      <c r="A56" s="92" t="s">
        <v>57</v>
      </c>
      <c r="B56" s="92"/>
      <c r="C56" s="91">
        <v>2013</v>
      </c>
      <c r="D56" s="92" t="s">
        <v>16</v>
      </c>
      <c r="E56" s="92" t="s">
        <v>12</v>
      </c>
      <c r="F56" s="92" t="s">
        <v>12</v>
      </c>
      <c r="G56" s="141">
        <f>24</f>
        <v>24</v>
      </c>
      <c r="H56" s="92" t="s">
        <v>348</v>
      </c>
      <c r="I56" s="142">
        <f>8.8+3.1+2.5+5.8+8.6+5.3</f>
        <v>34.099999999999994</v>
      </c>
      <c r="J56" s="142" t="s">
        <v>276</v>
      </c>
    </row>
    <row r="57" spans="1:10" ht="12.75" x14ac:dyDescent="0.2">
      <c r="A57" s="91" t="s">
        <v>50</v>
      </c>
      <c r="B57" s="91"/>
      <c r="C57" s="91">
        <v>2013</v>
      </c>
      <c r="D57" s="91" t="s">
        <v>21</v>
      </c>
      <c r="E57" s="92" t="s">
        <v>12</v>
      </c>
      <c r="F57" s="92" t="s">
        <v>12</v>
      </c>
      <c r="G57" s="143">
        <v>109</v>
      </c>
      <c r="H57" s="91" t="s">
        <v>277</v>
      </c>
      <c r="I57" s="142">
        <v>109</v>
      </c>
      <c r="J57" s="91" t="s">
        <v>277</v>
      </c>
    </row>
    <row r="58" spans="1:10" ht="12.75" x14ac:dyDescent="0.2">
      <c r="A58" s="91" t="s">
        <v>44</v>
      </c>
      <c r="B58" s="91"/>
      <c r="C58" s="91">
        <v>2013</v>
      </c>
      <c r="D58" s="91" t="s">
        <v>7</v>
      </c>
      <c r="E58" s="92" t="s">
        <v>12</v>
      </c>
      <c r="F58" s="92" t="s">
        <v>12</v>
      </c>
      <c r="G58" s="143">
        <v>488</v>
      </c>
      <c r="H58" s="91" t="s">
        <v>279</v>
      </c>
      <c r="I58" s="142">
        <v>264</v>
      </c>
      <c r="J58" s="142" t="s">
        <v>278</v>
      </c>
    </row>
    <row r="59" spans="1:10" ht="12.75" x14ac:dyDescent="0.2">
      <c r="A59" s="92" t="s">
        <v>61</v>
      </c>
      <c r="B59" s="92"/>
      <c r="C59" s="92">
        <v>2013</v>
      </c>
      <c r="D59" s="92" t="s">
        <v>16</v>
      </c>
      <c r="E59" s="92" t="s">
        <v>12</v>
      </c>
      <c r="F59" s="92" t="s">
        <v>12</v>
      </c>
      <c r="G59" s="141">
        <f>6.7+36+2.8+2.8+3.6+4</f>
        <v>55.9</v>
      </c>
      <c r="H59" s="92" t="s">
        <v>281</v>
      </c>
      <c r="I59" s="142">
        <f>36+2.8+6.7</f>
        <v>45.5</v>
      </c>
      <c r="J59" s="142" t="s">
        <v>280</v>
      </c>
    </row>
    <row r="60" spans="1:10" ht="12.75" x14ac:dyDescent="0.2">
      <c r="A60" s="92" t="s">
        <v>47</v>
      </c>
      <c r="B60" s="92"/>
      <c r="C60" s="92">
        <v>2013</v>
      </c>
      <c r="D60" s="92" t="s">
        <v>7</v>
      </c>
      <c r="E60" s="92" t="s">
        <v>12</v>
      </c>
      <c r="F60" s="92" t="s">
        <v>12</v>
      </c>
      <c r="G60" s="141">
        <v>690</v>
      </c>
      <c r="H60" s="92" t="s">
        <v>282</v>
      </c>
      <c r="I60" s="140">
        <v>48.4</v>
      </c>
      <c r="J60" s="140" t="s">
        <v>283</v>
      </c>
    </row>
    <row r="61" spans="1:10" ht="12.75" x14ac:dyDescent="0.2">
      <c r="A61" s="91" t="s">
        <v>59</v>
      </c>
      <c r="B61" s="91"/>
      <c r="C61" s="91">
        <v>2013</v>
      </c>
      <c r="D61" s="91" t="s">
        <v>7</v>
      </c>
      <c r="E61" s="92" t="s">
        <v>11</v>
      </c>
      <c r="F61" s="92" t="s">
        <v>11</v>
      </c>
      <c r="G61" s="143">
        <v>38.799999999999997</v>
      </c>
      <c r="H61" s="91" t="s">
        <v>375</v>
      </c>
      <c r="I61" s="142">
        <f>0.561+2.6+2.2+1+2.5+3.5+1.8+1.1+1.7+1.1+1.9+3.2</f>
        <v>23.161000000000001</v>
      </c>
      <c r="J61" s="142" t="s">
        <v>284</v>
      </c>
    </row>
    <row r="62" spans="1:10" ht="12.75" x14ac:dyDescent="0.2">
      <c r="A62" s="92" t="s">
        <v>40</v>
      </c>
      <c r="B62" s="92"/>
      <c r="C62" s="92">
        <v>2012</v>
      </c>
      <c r="D62" s="92" t="s">
        <v>16</v>
      </c>
      <c r="E62" s="92" t="s">
        <v>12</v>
      </c>
      <c r="F62" s="92" t="s">
        <v>12</v>
      </c>
      <c r="G62" s="141">
        <v>178</v>
      </c>
      <c r="H62" s="92" t="s">
        <v>256</v>
      </c>
      <c r="I62" s="140">
        <f>72+7+1.5+29.9+36.5+13.6+19+9.5+6+7</f>
        <v>202</v>
      </c>
      <c r="J62" s="140" t="s">
        <v>257</v>
      </c>
    </row>
    <row r="63" spans="1:10" ht="12.75" x14ac:dyDescent="0.2">
      <c r="A63" s="92" t="s">
        <v>28</v>
      </c>
      <c r="B63" s="92"/>
      <c r="C63" s="92">
        <v>2012</v>
      </c>
      <c r="D63" s="92" t="s">
        <v>7</v>
      </c>
      <c r="E63" s="92" t="s">
        <v>12</v>
      </c>
      <c r="F63" s="92" t="s">
        <v>12</v>
      </c>
      <c r="G63" s="141">
        <v>267</v>
      </c>
      <c r="H63" s="159" t="s">
        <v>344</v>
      </c>
      <c r="I63" s="140">
        <v>250</v>
      </c>
      <c r="J63" s="140" t="s">
        <v>260</v>
      </c>
    </row>
    <row r="64" spans="1:10" ht="12.75" x14ac:dyDescent="0.2">
      <c r="A64" s="92" t="s">
        <v>37</v>
      </c>
      <c r="B64" s="92"/>
      <c r="C64" s="92">
        <v>2012</v>
      </c>
      <c r="D64" s="92" t="s">
        <v>16</v>
      </c>
      <c r="E64" s="92" t="s">
        <v>12</v>
      </c>
      <c r="F64" s="92" t="s">
        <v>12</v>
      </c>
      <c r="G64" s="141">
        <v>129</v>
      </c>
      <c r="H64" s="140" t="s">
        <v>250</v>
      </c>
      <c r="I64" s="140">
        <f>61+44+24</f>
        <v>129</v>
      </c>
      <c r="J64" s="140" t="s">
        <v>250</v>
      </c>
    </row>
    <row r="65" spans="1:10" ht="12.75" x14ac:dyDescent="0.2">
      <c r="A65" s="92" t="s">
        <v>39</v>
      </c>
      <c r="B65" s="92"/>
      <c r="C65" s="92">
        <v>2012</v>
      </c>
      <c r="D65" s="92" t="s">
        <v>7</v>
      </c>
      <c r="E65" s="92" t="s">
        <v>12</v>
      </c>
      <c r="F65" s="92" t="s">
        <v>12</v>
      </c>
      <c r="G65" s="141">
        <v>140</v>
      </c>
      <c r="H65" s="92" t="s">
        <v>345</v>
      </c>
      <c r="I65" s="140">
        <f>4.9+5.6+16+1+4.5</f>
        <v>32</v>
      </c>
      <c r="J65" s="140" t="s">
        <v>374</v>
      </c>
    </row>
    <row r="66" spans="1:10" ht="12.75" x14ac:dyDescent="0.2">
      <c r="A66" s="92" t="s">
        <v>23</v>
      </c>
      <c r="B66" s="92"/>
      <c r="C66" s="92">
        <v>2012</v>
      </c>
      <c r="D66" s="92" t="s">
        <v>16</v>
      </c>
      <c r="E66" s="92" t="s">
        <v>12</v>
      </c>
      <c r="F66" s="92" t="s">
        <v>12</v>
      </c>
      <c r="G66" s="141">
        <v>1400</v>
      </c>
      <c r="H66" s="92" t="s">
        <v>258</v>
      </c>
      <c r="I66" s="92">
        <f>119+75.3+10.8</f>
        <v>205.10000000000002</v>
      </c>
      <c r="J66" s="92" t="s">
        <v>259</v>
      </c>
    </row>
    <row r="67" spans="1:10" ht="12.75" x14ac:dyDescent="0.2">
      <c r="A67" s="92" t="s">
        <v>35</v>
      </c>
      <c r="B67" s="92"/>
      <c r="C67" s="92">
        <v>2012</v>
      </c>
      <c r="D67" s="92" t="s">
        <v>7</v>
      </c>
      <c r="E67" s="92" t="s">
        <v>12</v>
      </c>
      <c r="F67" s="92" t="s">
        <v>12</v>
      </c>
      <c r="G67" s="141">
        <v>279</v>
      </c>
      <c r="H67" s="140" t="s">
        <v>376</v>
      </c>
      <c r="I67" s="140">
        <v>180</v>
      </c>
      <c r="J67" s="140" t="s">
        <v>253</v>
      </c>
    </row>
    <row r="68" spans="1:10" ht="12.75" x14ac:dyDescent="0.2">
      <c r="A68" s="92" t="s">
        <v>25</v>
      </c>
      <c r="B68" s="92"/>
      <c r="C68" s="92">
        <v>2012</v>
      </c>
      <c r="D68" s="92" t="s">
        <v>16</v>
      </c>
      <c r="E68" s="92" t="s">
        <v>12</v>
      </c>
      <c r="F68" s="92" t="s">
        <v>12</v>
      </c>
      <c r="G68" s="141">
        <f>Table6[[#This Row],[Spending directly evaluated (£m)]]</f>
        <v>119.2</v>
      </c>
      <c r="H68" s="159" t="s">
        <v>346</v>
      </c>
      <c r="I68" s="140">
        <v>119.2</v>
      </c>
      <c r="J68" s="159" t="s">
        <v>346</v>
      </c>
    </row>
    <row r="69" spans="1:10" ht="12.75" x14ac:dyDescent="0.2">
      <c r="A69" s="92" t="s">
        <v>33</v>
      </c>
      <c r="B69" s="92"/>
      <c r="C69" s="92">
        <v>2012</v>
      </c>
      <c r="D69" s="92" t="s">
        <v>16</v>
      </c>
      <c r="E69" s="92" t="s">
        <v>11</v>
      </c>
      <c r="F69" s="92" t="s">
        <v>12</v>
      </c>
      <c r="G69" s="141">
        <f>180*0.35</f>
        <v>62.999999999999993</v>
      </c>
      <c r="H69" s="140" t="s">
        <v>265</v>
      </c>
      <c r="I69" s="92">
        <f>(1.2+13)*0.2</f>
        <v>2.84</v>
      </c>
      <c r="J69" s="92" t="s">
        <v>264</v>
      </c>
    </row>
    <row r="70" spans="1:10" ht="12.75" x14ac:dyDescent="0.2">
      <c r="A70" s="92" t="s">
        <v>33</v>
      </c>
      <c r="B70" s="92"/>
      <c r="C70" s="92">
        <v>2012</v>
      </c>
      <c r="D70" s="92" t="s">
        <v>16</v>
      </c>
      <c r="E70" s="92" t="s">
        <v>11</v>
      </c>
      <c r="F70" s="92" t="s">
        <v>11</v>
      </c>
      <c r="G70" s="141">
        <f>180*0.6</f>
        <v>108</v>
      </c>
      <c r="H70" s="140" t="s">
        <v>265</v>
      </c>
      <c r="I70" s="92">
        <f>(1.2+13)*0.6</f>
        <v>8.52</v>
      </c>
      <c r="J70" s="92" t="s">
        <v>264</v>
      </c>
    </row>
    <row r="71" spans="1:10" ht="12.75" x14ac:dyDescent="0.2">
      <c r="A71" s="92" t="s">
        <v>33</v>
      </c>
      <c r="B71" s="92"/>
      <c r="C71" s="92">
        <v>2012</v>
      </c>
      <c r="D71" s="92" t="s">
        <v>16</v>
      </c>
      <c r="E71" s="92" t="s">
        <v>11</v>
      </c>
      <c r="F71" s="92" t="s">
        <v>34</v>
      </c>
      <c r="G71" s="141">
        <f>180*0.05</f>
        <v>9</v>
      </c>
      <c r="H71" s="140" t="s">
        <v>265</v>
      </c>
      <c r="I71" s="92">
        <f>(1.2+13)*0.2</f>
        <v>2.84</v>
      </c>
      <c r="J71" s="92" t="s">
        <v>264</v>
      </c>
    </row>
    <row r="72" spans="1:10" s="101" customFormat="1" ht="12.75" x14ac:dyDescent="0.2">
      <c r="A72" s="92" t="s">
        <v>22</v>
      </c>
      <c r="B72" s="92"/>
      <c r="C72" s="92">
        <v>2012</v>
      </c>
      <c r="D72" s="92" t="s">
        <v>16</v>
      </c>
      <c r="E72" s="92" t="s">
        <v>12</v>
      </c>
      <c r="F72" s="92" t="s">
        <v>12</v>
      </c>
      <c r="G72" s="141">
        <f>Table6[[#This Row],[Spending directly evaluated (£m)]]</f>
        <v>11.6</v>
      </c>
      <c r="H72" s="140" t="s">
        <v>249</v>
      </c>
      <c r="I72" s="140">
        <v>11.6</v>
      </c>
      <c r="J72" s="140" t="s">
        <v>249</v>
      </c>
    </row>
    <row r="73" spans="1:10" s="145" customFormat="1" ht="12.75" x14ac:dyDescent="0.2">
      <c r="A73" s="92" t="s">
        <v>31</v>
      </c>
      <c r="B73" s="92"/>
      <c r="C73" s="92">
        <v>2012</v>
      </c>
      <c r="D73" s="92" t="s">
        <v>7</v>
      </c>
      <c r="E73" s="92" t="s">
        <v>12</v>
      </c>
      <c r="F73" s="92" t="s">
        <v>12</v>
      </c>
      <c r="G73" s="141">
        <f>113+53+175+229</f>
        <v>570</v>
      </c>
      <c r="H73" s="92" t="s">
        <v>262</v>
      </c>
      <c r="I73" s="140">
        <f>35+12+150+25+7+6+2.2+30+25+11.5+13+1.8+90</f>
        <v>408.5</v>
      </c>
      <c r="J73" s="140" t="s">
        <v>261</v>
      </c>
    </row>
    <row r="74" spans="1:10" s="145" customFormat="1" ht="12.75" x14ac:dyDescent="0.2">
      <c r="A74" s="92" t="s">
        <v>42</v>
      </c>
      <c r="B74" s="92"/>
      <c r="C74" s="92">
        <v>2012</v>
      </c>
      <c r="D74" s="92" t="s">
        <v>7</v>
      </c>
      <c r="E74" s="92" t="s">
        <v>12</v>
      </c>
      <c r="F74" s="92" t="s">
        <v>12</v>
      </c>
      <c r="G74" s="141">
        <v>5100</v>
      </c>
      <c r="H74" s="92" t="s">
        <v>263</v>
      </c>
      <c r="I74" s="140">
        <v>1600</v>
      </c>
      <c r="J74" s="162" t="s">
        <v>347</v>
      </c>
    </row>
    <row r="75" spans="1:10" ht="12.75" x14ac:dyDescent="0.2">
      <c r="A75" s="92" t="s">
        <v>38</v>
      </c>
      <c r="B75" s="92"/>
      <c r="C75" s="92">
        <v>2012</v>
      </c>
      <c r="D75" s="92" t="s">
        <v>7</v>
      </c>
      <c r="E75" s="92" t="s">
        <v>12</v>
      </c>
      <c r="F75" s="92" t="s">
        <v>12</v>
      </c>
      <c r="G75" s="141">
        <v>644</v>
      </c>
      <c r="H75" s="140" t="s">
        <v>255</v>
      </c>
      <c r="I75" s="140">
        <f>37+115+30</f>
        <v>182</v>
      </c>
      <c r="J75" s="140" t="s">
        <v>254</v>
      </c>
    </row>
    <row r="76" spans="1:10" ht="12.75" x14ac:dyDescent="0.2">
      <c r="A76" s="92" t="s">
        <v>29</v>
      </c>
      <c r="B76" s="92"/>
      <c r="C76" s="92">
        <v>2012</v>
      </c>
      <c r="D76" s="92" t="s">
        <v>7</v>
      </c>
      <c r="E76" s="92" t="s">
        <v>12</v>
      </c>
      <c r="F76" s="92" t="s">
        <v>12</v>
      </c>
      <c r="G76" s="141">
        <v>200</v>
      </c>
      <c r="H76" s="92" t="s">
        <v>252</v>
      </c>
      <c r="I76" s="140">
        <f>22+79.6+57</f>
        <v>158.6</v>
      </c>
      <c r="J76" s="140" t="s">
        <v>251</v>
      </c>
    </row>
    <row r="77" spans="1:10" ht="12.75" x14ac:dyDescent="0.2">
      <c r="A77" s="92" t="s">
        <v>18</v>
      </c>
      <c r="B77" s="92"/>
      <c r="C77" s="92">
        <v>2011</v>
      </c>
      <c r="D77" s="92" t="s">
        <v>16</v>
      </c>
      <c r="E77" s="92" t="s">
        <v>12</v>
      </c>
      <c r="F77" s="92" t="s">
        <v>12</v>
      </c>
      <c r="G77" s="141">
        <v>7</v>
      </c>
      <c r="H77" s="140" t="s">
        <v>341</v>
      </c>
      <c r="I77" s="140">
        <v>7</v>
      </c>
      <c r="J77" s="140" t="s">
        <v>342</v>
      </c>
    </row>
    <row r="78" spans="1:10" ht="12.75" x14ac:dyDescent="0.2">
      <c r="A78" s="92" t="s">
        <v>17</v>
      </c>
      <c r="B78" s="92"/>
      <c r="C78" s="92">
        <v>2011</v>
      </c>
      <c r="D78" s="92" t="s">
        <v>7</v>
      </c>
      <c r="E78" s="92" t="s">
        <v>12</v>
      </c>
      <c r="F78" s="92" t="s">
        <v>12</v>
      </c>
      <c r="G78" s="141">
        <v>75</v>
      </c>
      <c r="H78" s="140" t="s">
        <v>377</v>
      </c>
      <c r="I78" s="140">
        <v>75</v>
      </c>
      <c r="J78" s="140" t="s">
        <v>377</v>
      </c>
    </row>
    <row r="79" spans="1:10" ht="12.75" x14ac:dyDescent="0.2">
      <c r="A79" s="92" t="s">
        <v>8</v>
      </c>
      <c r="B79" s="92"/>
      <c r="C79" s="92">
        <v>2011</v>
      </c>
      <c r="D79" s="92" t="s">
        <v>7</v>
      </c>
      <c r="E79" s="92" t="s">
        <v>12</v>
      </c>
      <c r="F79" s="92" t="s">
        <v>12</v>
      </c>
      <c r="G79" s="141">
        <f>Table6[[#This Row],[Spending directly evaluated (£m)]]</f>
        <v>103.3</v>
      </c>
      <c r="H79" s="159" t="s">
        <v>343</v>
      </c>
      <c r="I79" s="140">
        <f>35+21+25+16.5+2.3+3+0.2+0.3</f>
        <v>103.3</v>
      </c>
      <c r="J79" s="159" t="s">
        <v>343</v>
      </c>
    </row>
    <row r="80" spans="1:10" ht="12.75" x14ac:dyDescent="0.2">
      <c r="A80" s="91"/>
      <c r="B80" s="91"/>
      <c r="C80" s="91"/>
      <c r="D80" s="91"/>
      <c r="E80" s="91"/>
      <c r="F80" s="91"/>
      <c r="G80" s="458"/>
      <c r="H80" s="91"/>
      <c r="I80" s="208"/>
      <c r="J80" s="206"/>
    </row>
    <row r="81" spans="1:7" ht="12.75" x14ac:dyDescent="0.2">
      <c r="A81" s="4"/>
      <c r="B81" s="4"/>
      <c r="G81" s="207"/>
    </row>
    <row r="82" spans="1:7" ht="12.75" x14ac:dyDescent="0.2">
      <c r="A82" s="4"/>
      <c r="B82" s="4"/>
    </row>
    <row r="83" spans="1:7" ht="12.75" x14ac:dyDescent="0.2">
      <c r="A83" s="4"/>
      <c r="B83" s="4"/>
      <c r="F83" s="186"/>
    </row>
    <row r="84" spans="1:7" ht="12.75" x14ac:dyDescent="0.2">
      <c r="A84" s="4"/>
      <c r="B84" s="4"/>
    </row>
    <row r="85" spans="1:7" ht="12.75" x14ac:dyDescent="0.2">
      <c r="A85" s="4"/>
      <c r="B85" s="4"/>
    </row>
    <row r="86" spans="1:7" ht="12.75" x14ac:dyDescent="0.2">
      <c r="A86" s="4"/>
      <c r="B86" s="4"/>
    </row>
    <row r="87" spans="1:7" ht="12.75" x14ac:dyDescent="0.2">
      <c r="A87" s="4"/>
      <c r="B87" s="4"/>
    </row>
    <row r="88" spans="1:7" ht="12.75" x14ac:dyDescent="0.2">
      <c r="A88" s="4"/>
      <c r="B88" s="4"/>
    </row>
    <row r="89" spans="1:7" ht="12.75" x14ac:dyDescent="0.2">
      <c r="A89" s="4"/>
      <c r="B89" s="4"/>
    </row>
    <row r="90" spans="1:7" ht="12.75" x14ac:dyDescent="0.2">
      <c r="A90" s="4"/>
      <c r="B90" s="4"/>
    </row>
    <row r="91" spans="1:7" ht="12.75" x14ac:dyDescent="0.2">
      <c r="A91" s="4"/>
      <c r="B91" s="4"/>
    </row>
    <row r="92" spans="1:7" ht="12.75" x14ac:dyDescent="0.2">
      <c r="A92" s="4"/>
      <c r="B92" s="4"/>
    </row>
    <row r="93" spans="1:7" ht="12.75" x14ac:dyDescent="0.2">
      <c r="A93" s="4"/>
      <c r="B93" s="4"/>
    </row>
    <row r="94" spans="1:7" ht="12.75" x14ac:dyDescent="0.2">
      <c r="A94" s="4"/>
      <c r="B94" s="4"/>
    </row>
    <row r="95" spans="1:7" ht="12.75" x14ac:dyDescent="0.2">
      <c r="A95" s="4"/>
      <c r="B95" s="4"/>
    </row>
    <row r="96" spans="1:7" ht="12.75" x14ac:dyDescent="0.2">
      <c r="A96" s="4"/>
      <c r="B96" s="4"/>
    </row>
    <row r="97" spans="1:2" ht="12.75" x14ac:dyDescent="0.2">
      <c r="A97" s="4"/>
      <c r="B97" s="4"/>
    </row>
    <row r="98" spans="1:2" ht="12.75" x14ac:dyDescent="0.2">
      <c r="A98" s="4"/>
      <c r="B98" s="4"/>
    </row>
    <row r="99" spans="1:2" ht="12.75" x14ac:dyDescent="0.2">
      <c r="A99" s="4"/>
      <c r="B99" s="4"/>
    </row>
    <row r="100" spans="1:2" ht="12.75" x14ac:dyDescent="0.2">
      <c r="A100" s="4"/>
      <c r="B100" s="4"/>
    </row>
    <row r="101" spans="1:2" ht="12.75" x14ac:dyDescent="0.2">
      <c r="A101" s="4"/>
      <c r="B101" s="4"/>
    </row>
    <row r="102" spans="1:2" ht="12.75" x14ac:dyDescent="0.2">
      <c r="A102" s="4"/>
      <c r="B102" s="4"/>
    </row>
    <row r="103" spans="1:2" ht="12.75" x14ac:dyDescent="0.2">
      <c r="A103" s="4"/>
      <c r="B103" s="4"/>
    </row>
    <row r="104" spans="1:2" ht="12.75" x14ac:dyDescent="0.2">
      <c r="A104" s="4"/>
      <c r="B104" s="4"/>
    </row>
    <row r="105" spans="1:2" ht="12.75" x14ac:dyDescent="0.2">
      <c r="A105" s="4"/>
      <c r="B105" s="4"/>
    </row>
    <row r="106" spans="1:2" ht="12.75" x14ac:dyDescent="0.2">
      <c r="A106" s="4"/>
      <c r="B106" s="4"/>
    </row>
    <row r="107" spans="1:2" ht="12.75" x14ac:dyDescent="0.2">
      <c r="A107" s="4"/>
      <c r="B107" s="4"/>
    </row>
    <row r="108" spans="1:2" ht="12.75" x14ac:dyDescent="0.2">
      <c r="A108" s="4"/>
      <c r="B108" s="4"/>
    </row>
    <row r="109" spans="1:2" ht="12.75" x14ac:dyDescent="0.2">
      <c r="A109" s="4"/>
      <c r="B109" s="4"/>
    </row>
    <row r="110" spans="1:2" ht="12.75" x14ac:dyDescent="0.2">
      <c r="A110" s="4"/>
      <c r="B110" s="4"/>
    </row>
    <row r="111" spans="1:2" ht="12.75" x14ac:dyDescent="0.2">
      <c r="A111" s="4"/>
      <c r="B111" s="4"/>
    </row>
    <row r="112" spans="1:2" ht="12.75" x14ac:dyDescent="0.2">
      <c r="A112" s="4"/>
      <c r="B112" s="4"/>
    </row>
    <row r="113" spans="1:2" ht="12.75" x14ac:dyDescent="0.2">
      <c r="A113" s="4"/>
      <c r="B113" s="4"/>
    </row>
    <row r="114" spans="1:2" ht="12.75" x14ac:dyDescent="0.2">
      <c r="A114" s="4"/>
      <c r="B114" s="4"/>
    </row>
    <row r="115" spans="1:2" ht="12.75" x14ac:dyDescent="0.2">
      <c r="A115" s="4"/>
      <c r="B115" s="4"/>
    </row>
    <row r="116" spans="1:2" ht="12.75" x14ac:dyDescent="0.2">
      <c r="A116" s="4"/>
      <c r="B116" s="4"/>
    </row>
    <row r="117" spans="1:2" ht="12.75" x14ac:dyDescent="0.2">
      <c r="A117" s="4"/>
      <c r="B117" s="4"/>
    </row>
    <row r="118" spans="1:2" ht="12.75" x14ac:dyDescent="0.2">
      <c r="A118" s="4"/>
      <c r="B118" s="4"/>
    </row>
    <row r="119" spans="1:2" ht="12.75" x14ac:dyDescent="0.2">
      <c r="A119" s="4"/>
      <c r="B119" s="4"/>
    </row>
    <row r="120" spans="1:2" ht="12.75" x14ac:dyDescent="0.2">
      <c r="A120" s="4"/>
      <c r="B120" s="4"/>
    </row>
    <row r="121" spans="1:2" ht="12.75" x14ac:dyDescent="0.2">
      <c r="A121" s="4"/>
      <c r="B121" s="4"/>
    </row>
    <row r="122" spans="1:2" ht="12.75" x14ac:dyDescent="0.2">
      <c r="A122" s="4"/>
      <c r="B122" s="4"/>
    </row>
    <row r="123" spans="1:2" ht="12.75" x14ac:dyDescent="0.2">
      <c r="A123" s="4"/>
      <c r="B123" s="4"/>
    </row>
    <row r="124" spans="1:2" ht="12.75" x14ac:dyDescent="0.2">
      <c r="A124" s="4"/>
      <c r="B124" s="4"/>
    </row>
    <row r="125" spans="1:2" ht="12.75" x14ac:dyDescent="0.2">
      <c r="A125" s="4"/>
      <c r="B125" s="4"/>
    </row>
    <row r="126" spans="1:2" ht="12.75" x14ac:dyDescent="0.2">
      <c r="A126" s="4"/>
      <c r="B126" s="4"/>
    </row>
    <row r="127" spans="1:2" ht="12.75" x14ac:dyDescent="0.2">
      <c r="A127" s="4"/>
      <c r="B127" s="4"/>
    </row>
    <row r="128" spans="1:2" ht="12.75" x14ac:dyDescent="0.2">
      <c r="A128" s="4"/>
      <c r="B128" s="4"/>
    </row>
    <row r="129" spans="1:2" ht="12.75" x14ac:dyDescent="0.2">
      <c r="A129" s="4"/>
      <c r="B129" s="4"/>
    </row>
    <row r="130" spans="1:2" ht="12.75" x14ac:dyDescent="0.2">
      <c r="A130" s="4"/>
      <c r="B130" s="4"/>
    </row>
    <row r="131" spans="1:2" ht="12.75" x14ac:dyDescent="0.2">
      <c r="A131" s="4"/>
      <c r="B131" s="4"/>
    </row>
    <row r="132" spans="1:2" ht="12.75" x14ac:dyDescent="0.2">
      <c r="A132" s="4"/>
      <c r="B132" s="4"/>
    </row>
    <row r="133" spans="1:2" ht="12.75" x14ac:dyDescent="0.2">
      <c r="A133" s="4"/>
      <c r="B133" s="4"/>
    </row>
    <row r="134" spans="1:2" ht="12.75" x14ac:dyDescent="0.2">
      <c r="A134" s="4"/>
      <c r="B134" s="4"/>
    </row>
    <row r="135" spans="1:2" ht="12.75" x14ac:dyDescent="0.2">
      <c r="A135" s="4"/>
      <c r="B135" s="4"/>
    </row>
    <row r="136" spans="1:2" ht="12.75" x14ac:dyDescent="0.2">
      <c r="A136" s="4"/>
      <c r="B136" s="4"/>
    </row>
    <row r="137" spans="1:2" ht="12.75" x14ac:dyDescent="0.2">
      <c r="A137" s="4"/>
      <c r="B137" s="4"/>
    </row>
    <row r="138" spans="1:2" ht="12.75" x14ac:dyDescent="0.2">
      <c r="A138" s="4"/>
      <c r="B138" s="4"/>
    </row>
    <row r="139" spans="1:2" ht="12.75" x14ac:dyDescent="0.2">
      <c r="A139" s="4"/>
      <c r="B139" s="4"/>
    </row>
    <row r="140" spans="1:2" ht="12.75" x14ac:dyDescent="0.2">
      <c r="A140" s="4"/>
      <c r="B140" s="4"/>
    </row>
    <row r="141" spans="1:2" ht="12.75" x14ac:dyDescent="0.2">
      <c r="A141" s="4"/>
      <c r="B141" s="4"/>
    </row>
    <row r="142" spans="1:2" ht="12.75" x14ac:dyDescent="0.2">
      <c r="A142" s="4"/>
      <c r="B142" s="4"/>
    </row>
    <row r="143" spans="1:2" ht="12.75" x14ac:dyDescent="0.2">
      <c r="A143" s="4"/>
      <c r="B143" s="4"/>
    </row>
    <row r="144" spans="1:2" ht="12.75" x14ac:dyDescent="0.2">
      <c r="A144" s="4"/>
      <c r="B144" s="4"/>
    </row>
    <row r="145" spans="1:2" ht="12.75" x14ac:dyDescent="0.2">
      <c r="A145" s="4"/>
      <c r="B145" s="4"/>
    </row>
    <row r="146" spans="1:2" ht="12.75" x14ac:dyDescent="0.2">
      <c r="A146" s="4"/>
      <c r="B146" s="4"/>
    </row>
    <row r="147" spans="1:2" ht="12.75" x14ac:dyDescent="0.2">
      <c r="A147" s="4"/>
      <c r="B147" s="4"/>
    </row>
    <row r="148" spans="1:2" ht="12.75" x14ac:dyDescent="0.2">
      <c r="A148" s="4"/>
      <c r="B148" s="4"/>
    </row>
    <row r="149" spans="1:2" ht="12.75" x14ac:dyDescent="0.2">
      <c r="A149" s="4"/>
      <c r="B149" s="4"/>
    </row>
    <row r="150" spans="1:2" ht="12.75" x14ac:dyDescent="0.2">
      <c r="A150" s="4"/>
      <c r="B150" s="4"/>
    </row>
    <row r="151" spans="1:2" ht="12.75" x14ac:dyDescent="0.2">
      <c r="A151" s="4"/>
      <c r="B151" s="4"/>
    </row>
    <row r="152" spans="1:2" ht="12.75" x14ac:dyDescent="0.2">
      <c r="A152" s="4"/>
      <c r="B152" s="4"/>
    </row>
    <row r="153" spans="1:2" ht="12.75" x14ac:dyDescent="0.2">
      <c r="A153" s="4"/>
      <c r="B153" s="4"/>
    </row>
    <row r="154" spans="1:2" ht="12.75" x14ac:dyDescent="0.2">
      <c r="A154" s="4"/>
      <c r="B154" s="4"/>
    </row>
    <row r="155" spans="1:2" ht="12.75" x14ac:dyDescent="0.2">
      <c r="A155" s="4"/>
      <c r="B155" s="4"/>
    </row>
    <row r="156" spans="1:2" ht="12.75" x14ac:dyDescent="0.2">
      <c r="A156" s="4"/>
      <c r="B156" s="4"/>
    </row>
    <row r="157" spans="1:2" ht="12.75" x14ac:dyDescent="0.2">
      <c r="A157" s="4"/>
      <c r="B157" s="4"/>
    </row>
    <row r="158" spans="1:2" ht="12.75" x14ac:dyDescent="0.2">
      <c r="A158" s="4"/>
      <c r="B158" s="4"/>
    </row>
    <row r="159" spans="1:2" ht="12.75" x14ac:dyDescent="0.2">
      <c r="A159" s="4"/>
      <c r="B159" s="4"/>
    </row>
    <row r="160" spans="1:2" ht="12.75" x14ac:dyDescent="0.2">
      <c r="A160" s="4"/>
      <c r="B160" s="4"/>
    </row>
    <row r="161" spans="1:2" ht="12.75" x14ac:dyDescent="0.2">
      <c r="A161" s="4"/>
      <c r="B161" s="4"/>
    </row>
    <row r="162" spans="1:2" ht="12.75" x14ac:dyDescent="0.2">
      <c r="A162" s="4"/>
      <c r="B162" s="4"/>
    </row>
    <row r="163" spans="1:2" ht="12.75" x14ac:dyDescent="0.2">
      <c r="A163" s="4"/>
      <c r="B163" s="4"/>
    </row>
    <row r="164" spans="1:2" ht="12.75" x14ac:dyDescent="0.2">
      <c r="A164" s="4"/>
      <c r="B164" s="4"/>
    </row>
    <row r="165" spans="1:2" ht="12.75" x14ac:dyDescent="0.2">
      <c r="A165" s="4"/>
      <c r="B165" s="4"/>
    </row>
    <row r="166" spans="1:2" ht="12.75" x14ac:dyDescent="0.2">
      <c r="A166" s="4"/>
      <c r="B166" s="4"/>
    </row>
    <row r="167" spans="1:2" ht="12.75" x14ac:dyDescent="0.2">
      <c r="A167" s="4"/>
      <c r="B167" s="4"/>
    </row>
    <row r="168" spans="1:2" ht="12.75" x14ac:dyDescent="0.2">
      <c r="A168" s="4"/>
      <c r="B168" s="4"/>
    </row>
    <row r="169" spans="1:2" ht="12.75" x14ac:dyDescent="0.2">
      <c r="A169" s="4"/>
      <c r="B169" s="4"/>
    </row>
    <row r="170" spans="1:2" ht="12.75" x14ac:dyDescent="0.2">
      <c r="A170" s="4"/>
      <c r="B170" s="4"/>
    </row>
    <row r="171" spans="1:2" ht="12.75" x14ac:dyDescent="0.2">
      <c r="A171" s="4"/>
      <c r="B171" s="4"/>
    </row>
    <row r="172" spans="1:2" ht="12.75" x14ac:dyDescent="0.2">
      <c r="A172" s="4"/>
      <c r="B172" s="4"/>
    </row>
    <row r="173" spans="1:2" ht="12.75" x14ac:dyDescent="0.2">
      <c r="A173" s="4"/>
      <c r="B173" s="4"/>
    </row>
    <row r="174" spans="1:2" ht="12.75" x14ac:dyDescent="0.2">
      <c r="A174" s="4"/>
      <c r="B174" s="4"/>
    </row>
    <row r="175" spans="1:2" ht="12.75" x14ac:dyDescent="0.2">
      <c r="A175" s="4"/>
      <c r="B175" s="4"/>
    </row>
    <row r="176" spans="1:2" ht="12.75" x14ac:dyDescent="0.2">
      <c r="A176" s="4"/>
      <c r="B176" s="4"/>
    </row>
    <row r="177" spans="1:2" ht="12.75" x14ac:dyDescent="0.2">
      <c r="A177" s="4"/>
      <c r="B177" s="4"/>
    </row>
    <row r="178" spans="1:2" ht="12.75" x14ac:dyDescent="0.2">
      <c r="A178" s="4"/>
      <c r="B178" s="4"/>
    </row>
    <row r="179" spans="1:2" ht="12.75" x14ac:dyDescent="0.2">
      <c r="A179" s="4"/>
      <c r="B179" s="4"/>
    </row>
    <row r="180" spans="1:2" ht="12.75" x14ac:dyDescent="0.2">
      <c r="A180" s="4"/>
      <c r="B180" s="4"/>
    </row>
    <row r="181" spans="1:2" ht="12.75" x14ac:dyDescent="0.2">
      <c r="A181" s="4"/>
      <c r="B181" s="4"/>
    </row>
    <row r="182" spans="1:2" ht="12.75" x14ac:dyDescent="0.2">
      <c r="A182" s="4"/>
      <c r="B182" s="4"/>
    </row>
    <row r="183" spans="1:2" ht="12.75" x14ac:dyDescent="0.2">
      <c r="A183" s="4"/>
      <c r="B183" s="4"/>
    </row>
    <row r="184" spans="1:2" ht="12.75" x14ac:dyDescent="0.2">
      <c r="A184" s="4"/>
      <c r="B184" s="4"/>
    </row>
    <row r="185" spans="1:2" ht="12.75" x14ac:dyDescent="0.2">
      <c r="A185" s="4"/>
      <c r="B185" s="4"/>
    </row>
    <row r="186" spans="1:2" ht="12.75" x14ac:dyDescent="0.2">
      <c r="A186" s="4"/>
      <c r="B186" s="4"/>
    </row>
    <row r="187" spans="1:2" ht="12.75" x14ac:dyDescent="0.2">
      <c r="A187" s="4"/>
      <c r="B187" s="4"/>
    </row>
    <row r="188" spans="1:2" ht="12.75" x14ac:dyDescent="0.2">
      <c r="A188" s="4"/>
      <c r="B188" s="4"/>
    </row>
    <row r="189" spans="1:2" ht="12.75" x14ac:dyDescent="0.2">
      <c r="A189" s="4"/>
      <c r="B189" s="4"/>
    </row>
    <row r="190" spans="1:2" ht="12.75" x14ac:dyDescent="0.2">
      <c r="A190" s="4"/>
      <c r="B190" s="4"/>
    </row>
    <row r="191" spans="1:2" ht="12.75" x14ac:dyDescent="0.2">
      <c r="A191" s="4"/>
      <c r="B191" s="4"/>
    </row>
    <row r="192" spans="1:2" ht="12.75" x14ac:dyDescent="0.2">
      <c r="A192" s="4"/>
      <c r="B192" s="4"/>
    </row>
    <row r="193" spans="1:2" ht="12.75" x14ac:dyDescent="0.2">
      <c r="A193" s="4"/>
      <c r="B193" s="4"/>
    </row>
    <row r="194" spans="1:2" ht="12.75" x14ac:dyDescent="0.2">
      <c r="A194" s="4"/>
      <c r="B194" s="4"/>
    </row>
    <row r="195" spans="1:2" ht="12.75" x14ac:dyDescent="0.2">
      <c r="A195" s="4"/>
      <c r="B195" s="4"/>
    </row>
    <row r="196" spans="1:2" ht="12.75" x14ac:dyDescent="0.2">
      <c r="A196" s="4"/>
      <c r="B196" s="4"/>
    </row>
    <row r="197" spans="1:2" ht="12.75" x14ac:dyDescent="0.2">
      <c r="A197" s="4"/>
      <c r="B197" s="4"/>
    </row>
    <row r="198" spans="1:2" ht="12.75" x14ac:dyDescent="0.2">
      <c r="A198" s="4"/>
      <c r="B198" s="4"/>
    </row>
    <row r="199" spans="1:2" ht="12.75" x14ac:dyDescent="0.2">
      <c r="A199" s="4"/>
      <c r="B199" s="4"/>
    </row>
    <row r="200" spans="1:2" ht="12.75" x14ac:dyDescent="0.2">
      <c r="A200" s="4"/>
      <c r="B200" s="4"/>
    </row>
    <row r="201" spans="1:2" ht="12.75" x14ac:dyDescent="0.2">
      <c r="A201" s="4"/>
      <c r="B201" s="4"/>
    </row>
    <row r="202" spans="1:2" ht="12.75" x14ac:dyDescent="0.2">
      <c r="A202" s="4"/>
      <c r="B202" s="4"/>
    </row>
    <row r="203" spans="1:2" ht="12.75" x14ac:dyDescent="0.2">
      <c r="A203" s="4"/>
      <c r="B203" s="4"/>
    </row>
    <row r="204" spans="1:2" ht="12.75" x14ac:dyDescent="0.2">
      <c r="A204" s="4"/>
      <c r="B204" s="4"/>
    </row>
    <row r="205" spans="1:2" ht="12.75" x14ac:dyDescent="0.2">
      <c r="A205" s="4"/>
      <c r="B205" s="4"/>
    </row>
    <row r="206" spans="1:2" ht="12.75" x14ac:dyDescent="0.2">
      <c r="A206" s="4"/>
      <c r="B206" s="4"/>
    </row>
    <row r="207" spans="1:2" ht="12.75" x14ac:dyDescent="0.2">
      <c r="A207" s="4"/>
      <c r="B207" s="4"/>
    </row>
    <row r="208" spans="1:2" ht="12.75" x14ac:dyDescent="0.2">
      <c r="A208" s="4"/>
      <c r="B208" s="4"/>
    </row>
    <row r="209" spans="1:2" ht="12.75" x14ac:dyDescent="0.2">
      <c r="A209" s="4"/>
      <c r="B209" s="4"/>
    </row>
    <row r="210" spans="1:2" ht="12.75" x14ac:dyDescent="0.2">
      <c r="A210" s="4"/>
      <c r="B210" s="4"/>
    </row>
    <row r="211" spans="1:2" ht="12.75" x14ac:dyDescent="0.2">
      <c r="A211" s="4"/>
      <c r="B211" s="4"/>
    </row>
    <row r="212" spans="1:2" ht="12.75" x14ac:dyDescent="0.2">
      <c r="A212" s="4"/>
      <c r="B212" s="4"/>
    </row>
    <row r="213" spans="1:2" ht="12.75" x14ac:dyDescent="0.2">
      <c r="A213" s="4"/>
      <c r="B213" s="4"/>
    </row>
    <row r="214" spans="1:2" ht="12.75" x14ac:dyDescent="0.2">
      <c r="A214" s="4"/>
      <c r="B214" s="4"/>
    </row>
    <row r="215" spans="1:2" ht="12.75" x14ac:dyDescent="0.2">
      <c r="A215" s="4"/>
      <c r="B215" s="4"/>
    </row>
    <row r="216" spans="1:2" ht="12.75" x14ac:dyDescent="0.2">
      <c r="A216" s="4"/>
      <c r="B216" s="4"/>
    </row>
    <row r="217" spans="1:2" ht="12.75" x14ac:dyDescent="0.2">
      <c r="A217" s="4"/>
      <c r="B217" s="4"/>
    </row>
    <row r="218" spans="1:2" ht="12.75" x14ac:dyDescent="0.2">
      <c r="A218" s="4"/>
      <c r="B218" s="4"/>
    </row>
    <row r="219" spans="1:2" ht="12.75" x14ac:dyDescent="0.2">
      <c r="A219" s="4"/>
      <c r="B219" s="4"/>
    </row>
    <row r="220" spans="1:2" ht="12.75" x14ac:dyDescent="0.2">
      <c r="A220" s="4"/>
      <c r="B220" s="4"/>
    </row>
    <row r="221" spans="1:2" ht="12.75" x14ac:dyDescent="0.2">
      <c r="A221" s="4"/>
      <c r="B221" s="4"/>
    </row>
    <row r="222" spans="1:2" ht="12.75" x14ac:dyDescent="0.2">
      <c r="A222" s="4"/>
      <c r="B222" s="4"/>
    </row>
    <row r="223" spans="1:2" ht="12.75" x14ac:dyDescent="0.2">
      <c r="A223" s="4"/>
      <c r="B223" s="4"/>
    </row>
    <row r="224" spans="1:2" ht="12.75" x14ac:dyDescent="0.2">
      <c r="A224" s="4"/>
      <c r="B224" s="4"/>
    </row>
    <row r="225" spans="1:2" ht="12.75" x14ac:dyDescent="0.2">
      <c r="A225" s="4"/>
      <c r="B225" s="4"/>
    </row>
    <row r="226" spans="1:2" ht="12.75" x14ac:dyDescent="0.2">
      <c r="A226" s="4"/>
      <c r="B226" s="4"/>
    </row>
    <row r="227" spans="1:2" ht="12.75" x14ac:dyDescent="0.2">
      <c r="A227" s="4"/>
      <c r="B227" s="4"/>
    </row>
    <row r="228" spans="1:2" ht="12.75" x14ac:dyDescent="0.2">
      <c r="A228" s="4"/>
      <c r="B228" s="4"/>
    </row>
    <row r="229" spans="1:2" ht="12.75" x14ac:dyDescent="0.2">
      <c r="A229" s="4"/>
      <c r="B229" s="4"/>
    </row>
    <row r="230" spans="1:2" ht="12.75" x14ac:dyDescent="0.2">
      <c r="A230" s="4"/>
      <c r="B230" s="4"/>
    </row>
    <row r="231" spans="1:2" ht="12.75" x14ac:dyDescent="0.2">
      <c r="A231" s="4"/>
      <c r="B231" s="4"/>
    </row>
    <row r="232" spans="1:2" ht="12.75" x14ac:dyDescent="0.2">
      <c r="A232" s="4"/>
      <c r="B232" s="4"/>
    </row>
    <row r="233" spans="1:2" ht="12.75" x14ac:dyDescent="0.2">
      <c r="A233" s="4"/>
      <c r="B233" s="4"/>
    </row>
    <row r="234" spans="1:2" ht="12.75" x14ac:dyDescent="0.2">
      <c r="A234" s="4"/>
      <c r="B234" s="4"/>
    </row>
    <row r="235" spans="1:2" ht="12.75" x14ac:dyDescent="0.2">
      <c r="A235" s="4"/>
      <c r="B235" s="4"/>
    </row>
    <row r="236" spans="1:2" ht="12.75" x14ac:dyDescent="0.2">
      <c r="A236" s="4"/>
      <c r="B236" s="4"/>
    </row>
    <row r="237" spans="1:2" ht="12.75" x14ac:dyDescent="0.2">
      <c r="A237" s="4"/>
      <c r="B237" s="4"/>
    </row>
    <row r="238" spans="1:2" ht="12.75" x14ac:dyDescent="0.2">
      <c r="A238" s="4"/>
      <c r="B238" s="4"/>
    </row>
    <row r="239" spans="1:2" ht="12.75" x14ac:dyDescent="0.2">
      <c r="A239" s="4"/>
      <c r="B239" s="4"/>
    </row>
    <row r="240" spans="1:2" ht="12.75" x14ac:dyDescent="0.2">
      <c r="A240" s="4"/>
      <c r="B240" s="4"/>
    </row>
    <row r="241" spans="1:2" ht="12.75" x14ac:dyDescent="0.2">
      <c r="A241" s="4"/>
      <c r="B241" s="4"/>
    </row>
    <row r="242" spans="1:2" ht="12.75" x14ac:dyDescent="0.2">
      <c r="A242" s="4"/>
      <c r="B242" s="4"/>
    </row>
    <row r="243" spans="1:2" ht="12.75" x14ac:dyDescent="0.2">
      <c r="A243" s="4"/>
      <c r="B243" s="4"/>
    </row>
    <row r="244" spans="1:2" ht="12.75" x14ac:dyDescent="0.2">
      <c r="A244" s="4"/>
      <c r="B244" s="4"/>
    </row>
    <row r="245" spans="1:2" ht="12.75" x14ac:dyDescent="0.2">
      <c r="A245" s="4"/>
      <c r="B245" s="4"/>
    </row>
    <row r="246" spans="1:2" ht="12.75" x14ac:dyDescent="0.2">
      <c r="A246" s="4"/>
      <c r="B246" s="4"/>
    </row>
    <row r="247" spans="1:2" ht="12.75" x14ac:dyDescent="0.2">
      <c r="A247" s="4"/>
      <c r="B247" s="4"/>
    </row>
    <row r="248" spans="1:2" ht="12.75" x14ac:dyDescent="0.2">
      <c r="A248" s="4"/>
      <c r="B248" s="4"/>
    </row>
    <row r="249" spans="1:2" ht="12.75" x14ac:dyDescent="0.2">
      <c r="A249" s="4"/>
      <c r="B249" s="4"/>
    </row>
    <row r="250" spans="1:2" ht="12.75" x14ac:dyDescent="0.2">
      <c r="A250" s="4"/>
      <c r="B250" s="4"/>
    </row>
    <row r="251" spans="1:2" ht="12.75" x14ac:dyDescent="0.2">
      <c r="A251" s="4"/>
      <c r="B251" s="4"/>
    </row>
    <row r="252" spans="1:2" ht="12.75" x14ac:dyDescent="0.2">
      <c r="A252" s="4"/>
      <c r="B252" s="4"/>
    </row>
    <row r="253" spans="1:2" ht="12.75" x14ac:dyDescent="0.2">
      <c r="A253" s="4"/>
      <c r="B253" s="4"/>
    </row>
    <row r="254" spans="1:2" ht="12.75" x14ac:dyDescent="0.2">
      <c r="A254" s="4"/>
      <c r="B254" s="4"/>
    </row>
    <row r="255" spans="1:2" ht="12.75" x14ac:dyDescent="0.2">
      <c r="A255" s="4"/>
      <c r="B255" s="4"/>
    </row>
    <row r="256" spans="1:2" ht="12.75" x14ac:dyDescent="0.2">
      <c r="A256" s="4"/>
      <c r="B256" s="4"/>
    </row>
    <row r="257" spans="1:2" ht="12.75" x14ac:dyDescent="0.2">
      <c r="A257" s="4"/>
      <c r="B257" s="4"/>
    </row>
    <row r="258" spans="1:2" ht="12.75" x14ac:dyDescent="0.2">
      <c r="A258" s="4"/>
      <c r="B258" s="4"/>
    </row>
    <row r="259" spans="1:2" ht="12.75" x14ac:dyDescent="0.2">
      <c r="A259" s="4"/>
      <c r="B259" s="4"/>
    </row>
    <row r="260" spans="1:2" ht="12.75" x14ac:dyDescent="0.2">
      <c r="A260" s="4"/>
      <c r="B260" s="4"/>
    </row>
    <row r="261" spans="1:2" ht="12.75" x14ac:dyDescent="0.2">
      <c r="A261" s="4"/>
      <c r="B261" s="4"/>
    </row>
    <row r="262" spans="1:2" ht="12.75" x14ac:dyDescent="0.2">
      <c r="A262" s="4"/>
      <c r="B262" s="4"/>
    </row>
    <row r="263" spans="1:2" ht="12.75" x14ac:dyDescent="0.2">
      <c r="A263" s="4"/>
      <c r="B263" s="4"/>
    </row>
    <row r="264" spans="1:2" ht="12.75" x14ac:dyDescent="0.2">
      <c r="A264" s="4"/>
      <c r="B264" s="4"/>
    </row>
    <row r="265" spans="1:2" ht="12.75" x14ac:dyDescent="0.2">
      <c r="A265" s="4"/>
      <c r="B265" s="4"/>
    </row>
    <row r="266" spans="1:2" ht="12.75" x14ac:dyDescent="0.2">
      <c r="A266" s="4"/>
      <c r="B266" s="4"/>
    </row>
    <row r="267" spans="1:2" ht="12.75" x14ac:dyDescent="0.2">
      <c r="A267" s="4"/>
      <c r="B267" s="4"/>
    </row>
    <row r="268" spans="1:2" ht="12.75" x14ac:dyDescent="0.2">
      <c r="A268" s="4"/>
      <c r="B268" s="4"/>
    </row>
    <row r="269" spans="1:2" ht="12.75" x14ac:dyDescent="0.2">
      <c r="A269" s="4"/>
      <c r="B269" s="4"/>
    </row>
    <row r="270" spans="1:2" ht="12.75" x14ac:dyDescent="0.2">
      <c r="A270" s="4"/>
      <c r="B270" s="4"/>
    </row>
    <row r="271" spans="1:2" ht="12.75" x14ac:dyDescent="0.2">
      <c r="A271" s="4"/>
      <c r="B271" s="4"/>
    </row>
    <row r="272" spans="1:2" ht="12.75" x14ac:dyDescent="0.2">
      <c r="A272" s="4"/>
      <c r="B272" s="4"/>
    </row>
    <row r="273" spans="1:2" ht="12.75" x14ac:dyDescent="0.2">
      <c r="A273" s="4"/>
      <c r="B273" s="4"/>
    </row>
    <row r="274" spans="1:2" ht="12.75" x14ac:dyDescent="0.2">
      <c r="A274" s="4"/>
      <c r="B274" s="4"/>
    </row>
    <row r="275" spans="1:2" ht="12.75" x14ac:dyDescent="0.2">
      <c r="A275" s="4"/>
      <c r="B275" s="4"/>
    </row>
    <row r="276" spans="1:2" ht="12.75" x14ac:dyDescent="0.2">
      <c r="A276" s="4"/>
      <c r="B276" s="4"/>
    </row>
    <row r="277" spans="1:2" ht="12.75" x14ac:dyDescent="0.2">
      <c r="A277" s="4"/>
      <c r="B277" s="4"/>
    </row>
    <row r="278" spans="1:2" ht="12.75" x14ac:dyDescent="0.2">
      <c r="A278" s="4"/>
      <c r="B278" s="4"/>
    </row>
    <row r="279" spans="1:2" ht="12.75" x14ac:dyDescent="0.2">
      <c r="A279" s="4"/>
      <c r="B279" s="4"/>
    </row>
    <row r="280" spans="1:2" ht="12.75" x14ac:dyDescent="0.2">
      <c r="A280" s="4"/>
      <c r="B280" s="4"/>
    </row>
    <row r="281" spans="1:2" ht="12.75" x14ac:dyDescent="0.2">
      <c r="A281" s="4"/>
      <c r="B281" s="4"/>
    </row>
    <row r="282" spans="1:2" ht="12.75" x14ac:dyDescent="0.2">
      <c r="A282" s="4"/>
      <c r="B282" s="4"/>
    </row>
    <row r="283" spans="1:2" ht="12.75" x14ac:dyDescent="0.2">
      <c r="A283" s="4"/>
      <c r="B283" s="4"/>
    </row>
    <row r="284" spans="1:2" ht="12.75" x14ac:dyDescent="0.2">
      <c r="A284" s="4"/>
      <c r="B284" s="4"/>
    </row>
    <row r="285" spans="1:2" ht="12.75" x14ac:dyDescent="0.2">
      <c r="A285" s="4"/>
      <c r="B285" s="4"/>
    </row>
    <row r="286" spans="1:2" ht="12.75" x14ac:dyDescent="0.2">
      <c r="A286" s="4"/>
      <c r="B286" s="4"/>
    </row>
    <row r="287" spans="1:2" ht="12.75" x14ac:dyDescent="0.2">
      <c r="A287" s="4"/>
      <c r="B287" s="4"/>
    </row>
    <row r="288" spans="1:2" ht="12.75" x14ac:dyDescent="0.2">
      <c r="A288" s="4"/>
      <c r="B288" s="4"/>
    </row>
    <row r="289" spans="1:2" ht="12.75" x14ac:dyDescent="0.2">
      <c r="A289" s="4"/>
      <c r="B289" s="4"/>
    </row>
    <row r="290" spans="1:2" ht="12.75" x14ac:dyDescent="0.2">
      <c r="A290" s="4"/>
      <c r="B290" s="4"/>
    </row>
    <row r="291" spans="1:2" ht="12.75" x14ac:dyDescent="0.2">
      <c r="A291" s="4"/>
      <c r="B291" s="4"/>
    </row>
    <row r="292" spans="1:2" ht="12.75" x14ac:dyDescent="0.2">
      <c r="A292" s="4"/>
      <c r="B292" s="4"/>
    </row>
    <row r="293" spans="1:2" ht="12.75" x14ac:dyDescent="0.2">
      <c r="A293" s="4"/>
      <c r="B293" s="4"/>
    </row>
    <row r="294" spans="1:2" ht="12.75" x14ac:dyDescent="0.2">
      <c r="A294" s="4"/>
      <c r="B294" s="4"/>
    </row>
    <row r="295" spans="1:2" ht="12.75" x14ac:dyDescent="0.2">
      <c r="A295" s="4"/>
      <c r="B295" s="4"/>
    </row>
    <row r="296" spans="1:2" ht="12.75" x14ac:dyDescent="0.2">
      <c r="A296" s="4"/>
      <c r="B296" s="4"/>
    </row>
    <row r="297" spans="1:2" ht="12.75" x14ac:dyDescent="0.2">
      <c r="A297" s="4"/>
      <c r="B297" s="4"/>
    </row>
    <row r="298" spans="1:2" ht="12.75" x14ac:dyDescent="0.2">
      <c r="A298" s="4"/>
      <c r="B298" s="4"/>
    </row>
    <row r="299" spans="1:2" ht="12.75" x14ac:dyDescent="0.2">
      <c r="A299" s="4"/>
      <c r="B299" s="4"/>
    </row>
    <row r="300" spans="1:2" ht="12.75" x14ac:dyDescent="0.2">
      <c r="A300" s="4"/>
      <c r="B300" s="4"/>
    </row>
    <row r="301" spans="1:2" ht="12.75" x14ac:dyDescent="0.2">
      <c r="A301" s="4"/>
      <c r="B301" s="4"/>
    </row>
    <row r="302" spans="1:2" ht="12.75" x14ac:dyDescent="0.2">
      <c r="A302" s="4"/>
      <c r="B302" s="4"/>
    </row>
    <row r="303" spans="1:2" ht="12.75" x14ac:dyDescent="0.2">
      <c r="A303" s="4"/>
      <c r="B303" s="4"/>
    </row>
    <row r="304" spans="1:2" ht="12.75" x14ac:dyDescent="0.2">
      <c r="A304" s="4"/>
      <c r="B304" s="4"/>
    </row>
    <row r="305" spans="1:2" ht="12.75" x14ac:dyDescent="0.2">
      <c r="A305" s="4"/>
      <c r="B305" s="4"/>
    </row>
    <row r="306" spans="1:2" ht="12.75" x14ac:dyDescent="0.2">
      <c r="A306" s="4"/>
      <c r="B306" s="4"/>
    </row>
    <row r="307" spans="1:2" ht="12.75" x14ac:dyDescent="0.2">
      <c r="A307" s="4"/>
      <c r="B307" s="4"/>
    </row>
    <row r="308" spans="1:2" ht="12.75" x14ac:dyDescent="0.2">
      <c r="A308" s="4"/>
      <c r="B308" s="4"/>
    </row>
    <row r="309" spans="1:2" ht="12.75" x14ac:dyDescent="0.2">
      <c r="A309" s="4"/>
      <c r="B309" s="4"/>
    </row>
    <row r="310" spans="1:2" ht="12.75" x14ac:dyDescent="0.2">
      <c r="A310" s="4"/>
      <c r="B310" s="4"/>
    </row>
    <row r="311" spans="1:2" ht="12.75" x14ac:dyDescent="0.2">
      <c r="A311" s="4"/>
      <c r="B311" s="4"/>
    </row>
    <row r="312" spans="1:2" ht="12.75" x14ac:dyDescent="0.2">
      <c r="A312" s="4"/>
      <c r="B312" s="4"/>
    </row>
    <row r="313" spans="1:2" ht="12.75" x14ac:dyDescent="0.2">
      <c r="A313" s="4"/>
      <c r="B313" s="4"/>
    </row>
    <row r="314" spans="1:2" ht="12.75" x14ac:dyDescent="0.2">
      <c r="A314" s="4"/>
      <c r="B314" s="4"/>
    </row>
    <row r="315" spans="1:2" ht="12.75" x14ac:dyDescent="0.2">
      <c r="A315" s="4"/>
      <c r="B315" s="4"/>
    </row>
    <row r="316" spans="1:2" ht="12.75" x14ac:dyDescent="0.2">
      <c r="A316" s="4"/>
      <c r="B316" s="4"/>
    </row>
    <row r="317" spans="1:2" ht="12.75" x14ac:dyDescent="0.2">
      <c r="A317" s="4"/>
      <c r="B317" s="4"/>
    </row>
    <row r="318" spans="1:2" ht="12.75" x14ac:dyDescent="0.2">
      <c r="A318" s="4"/>
      <c r="B318" s="4"/>
    </row>
    <row r="319" spans="1:2" ht="12.75" x14ac:dyDescent="0.2">
      <c r="A319" s="4"/>
      <c r="B319" s="4"/>
    </row>
    <row r="320" spans="1:2" ht="12.75" x14ac:dyDescent="0.2">
      <c r="A320" s="4"/>
      <c r="B320" s="4"/>
    </row>
    <row r="321" spans="1:2" ht="12.75" x14ac:dyDescent="0.2">
      <c r="A321" s="4"/>
      <c r="B321" s="4"/>
    </row>
    <row r="322" spans="1:2" ht="12.75" x14ac:dyDescent="0.2">
      <c r="A322" s="4"/>
      <c r="B322" s="4"/>
    </row>
    <row r="323" spans="1:2" ht="12.75" x14ac:dyDescent="0.2">
      <c r="A323" s="4"/>
      <c r="B323" s="4"/>
    </row>
    <row r="324" spans="1:2" ht="12.75" x14ac:dyDescent="0.2">
      <c r="A324" s="4"/>
      <c r="B324" s="4"/>
    </row>
    <row r="325" spans="1:2" ht="12.75" x14ac:dyDescent="0.2">
      <c r="A325" s="4"/>
      <c r="B325" s="4"/>
    </row>
    <row r="326" spans="1:2" ht="12.75" x14ac:dyDescent="0.2">
      <c r="A326" s="4"/>
      <c r="B326" s="4"/>
    </row>
    <row r="327" spans="1:2" ht="12.75" x14ac:dyDescent="0.2">
      <c r="A327" s="4"/>
      <c r="B327" s="4"/>
    </row>
    <row r="328" spans="1:2" ht="12.75" x14ac:dyDescent="0.2">
      <c r="A328" s="4"/>
      <c r="B328" s="4"/>
    </row>
    <row r="329" spans="1:2" ht="12.75" x14ac:dyDescent="0.2">
      <c r="A329" s="4"/>
      <c r="B329" s="4"/>
    </row>
    <row r="330" spans="1:2" ht="12.75" x14ac:dyDescent="0.2">
      <c r="A330" s="4"/>
      <c r="B330" s="4"/>
    </row>
    <row r="331" spans="1:2" ht="12.75" x14ac:dyDescent="0.2">
      <c r="A331" s="4"/>
      <c r="B331" s="4"/>
    </row>
    <row r="332" spans="1:2" ht="12.75" x14ac:dyDescent="0.2">
      <c r="A332" s="4"/>
      <c r="B332" s="4"/>
    </row>
    <row r="333" spans="1:2" ht="12.75" x14ac:dyDescent="0.2">
      <c r="A333" s="4"/>
      <c r="B333" s="4"/>
    </row>
    <row r="334" spans="1:2" ht="12.75" x14ac:dyDescent="0.2">
      <c r="A334" s="4"/>
      <c r="B334" s="4"/>
    </row>
    <row r="335" spans="1:2" ht="12.75" x14ac:dyDescent="0.2">
      <c r="A335" s="4"/>
      <c r="B335" s="4"/>
    </row>
    <row r="336" spans="1:2" ht="12.75" x14ac:dyDescent="0.2">
      <c r="A336" s="4"/>
      <c r="B336" s="4"/>
    </row>
    <row r="337" spans="1:2" ht="12.75" x14ac:dyDescent="0.2">
      <c r="A337" s="4"/>
      <c r="B337" s="4"/>
    </row>
    <row r="338" spans="1:2" ht="12.75" x14ac:dyDescent="0.2">
      <c r="A338" s="4"/>
      <c r="B338" s="4"/>
    </row>
    <row r="339" spans="1:2" ht="12.75" x14ac:dyDescent="0.2">
      <c r="A339" s="4"/>
      <c r="B339" s="4"/>
    </row>
    <row r="340" spans="1:2" ht="12.75" x14ac:dyDescent="0.2">
      <c r="A340" s="4"/>
      <c r="B340" s="4"/>
    </row>
    <row r="341" spans="1:2" ht="12.75" x14ac:dyDescent="0.2">
      <c r="A341" s="4"/>
      <c r="B341" s="4"/>
    </row>
    <row r="342" spans="1:2" ht="12.75" x14ac:dyDescent="0.2">
      <c r="A342" s="4"/>
      <c r="B342" s="4"/>
    </row>
    <row r="343" spans="1:2" ht="12.75" x14ac:dyDescent="0.2">
      <c r="A343" s="4"/>
      <c r="B343" s="4"/>
    </row>
    <row r="344" spans="1:2" ht="12.75" x14ac:dyDescent="0.2">
      <c r="A344" s="4"/>
      <c r="B344" s="4"/>
    </row>
    <row r="345" spans="1:2" ht="12.75" x14ac:dyDescent="0.2">
      <c r="A345" s="4"/>
      <c r="B345" s="4"/>
    </row>
    <row r="346" spans="1:2" ht="12.75" x14ac:dyDescent="0.2">
      <c r="A346" s="4"/>
      <c r="B346" s="4"/>
    </row>
    <row r="347" spans="1:2" ht="12.75" x14ac:dyDescent="0.2">
      <c r="A347" s="4"/>
      <c r="B347" s="4"/>
    </row>
    <row r="348" spans="1:2" ht="12.75" x14ac:dyDescent="0.2">
      <c r="A348" s="4"/>
      <c r="B348" s="4"/>
    </row>
    <row r="349" spans="1:2" ht="12.75" x14ac:dyDescent="0.2">
      <c r="A349" s="4"/>
      <c r="B349" s="4"/>
    </row>
    <row r="350" spans="1:2" ht="12.75" x14ac:dyDescent="0.2">
      <c r="A350" s="4"/>
      <c r="B350" s="4"/>
    </row>
    <row r="351" spans="1:2" ht="12.75" x14ac:dyDescent="0.2">
      <c r="A351" s="4"/>
      <c r="B351" s="4"/>
    </row>
    <row r="352" spans="1:2" ht="12.75" x14ac:dyDescent="0.2">
      <c r="A352" s="4"/>
      <c r="B352" s="4"/>
    </row>
    <row r="353" spans="1:2" ht="12.75" x14ac:dyDescent="0.2">
      <c r="A353" s="4"/>
      <c r="B353" s="4"/>
    </row>
    <row r="354" spans="1:2" ht="12.75" x14ac:dyDescent="0.2">
      <c r="A354" s="4"/>
      <c r="B354" s="4"/>
    </row>
    <row r="355" spans="1:2" ht="12.75" x14ac:dyDescent="0.2">
      <c r="A355" s="4"/>
      <c r="B355" s="4"/>
    </row>
    <row r="356" spans="1:2" ht="12.75" x14ac:dyDescent="0.2">
      <c r="A356" s="4"/>
      <c r="B356" s="4"/>
    </row>
    <row r="357" spans="1:2" ht="12.75" x14ac:dyDescent="0.2">
      <c r="A357" s="4"/>
      <c r="B357" s="4"/>
    </row>
    <row r="358" spans="1:2" ht="12.75" x14ac:dyDescent="0.2">
      <c r="A358" s="4"/>
      <c r="B358" s="4"/>
    </row>
    <row r="359" spans="1:2" ht="12.75" x14ac:dyDescent="0.2">
      <c r="A359" s="4"/>
      <c r="B359" s="4"/>
    </row>
    <row r="360" spans="1:2" ht="12.75" x14ac:dyDescent="0.2">
      <c r="A360" s="4"/>
      <c r="B360" s="4"/>
    </row>
    <row r="361" spans="1:2" ht="12.75" x14ac:dyDescent="0.2">
      <c r="A361" s="4"/>
      <c r="B361" s="4"/>
    </row>
    <row r="362" spans="1:2" ht="12.75" x14ac:dyDescent="0.2">
      <c r="A362" s="4"/>
      <c r="B362" s="4"/>
    </row>
    <row r="363" spans="1:2" ht="12.75" x14ac:dyDescent="0.2">
      <c r="A363" s="4"/>
      <c r="B363" s="4"/>
    </row>
    <row r="364" spans="1:2" ht="12.75" x14ac:dyDescent="0.2">
      <c r="A364" s="4"/>
      <c r="B364" s="4"/>
    </row>
    <row r="365" spans="1:2" ht="12.75" x14ac:dyDescent="0.2">
      <c r="A365" s="4"/>
      <c r="B365" s="4"/>
    </row>
    <row r="366" spans="1:2" ht="12.75" x14ac:dyDescent="0.2">
      <c r="A366" s="4"/>
      <c r="B366" s="4"/>
    </row>
    <row r="367" spans="1:2" ht="12.75" x14ac:dyDescent="0.2">
      <c r="A367" s="4"/>
      <c r="B367" s="4"/>
    </row>
    <row r="368" spans="1:2" ht="12.75" x14ac:dyDescent="0.2">
      <c r="A368" s="4"/>
      <c r="B368" s="4"/>
    </row>
    <row r="369" spans="1:2" ht="12.75" x14ac:dyDescent="0.2">
      <c r="A369" s="4"/>
      <c r="B369" s="4"/>
    </row>
    <row r="370" spans="1:2" ht="12.75" x14ac:dyDescent="0.2">
      <c r="A370" s="4"/>
      <c r="B370" s="4"/>
    </row>
    <row r="371" spans="1:2" ht="12.75" x14ac:dyDescent="0.2">
      <c r="A371" s="4"/>
      <c r="B371" s="4"/>
    </row>
    <row r="372" spans="1:2" ht="12.75" x14ac:dyDescent="0.2">
      <c r="A372" s="4"/>
      <c r="B372" s="4"/>
    </row>
    <row r="373" spans="1:2" ht="12.75" x14ac:dyDescent="0.2">
      <c r="A373" s="4"/>
      <c r="B373" s="4"/>
    </row>
    <row r="374" spans="1:2" ht="12.75" x14ac:dyDescent="0.2">
      <c r="A374" s="4"/>
      <c r="B374" s="4"/>
    </row>
    <row r="375" spans="1:2" ht="12.75" x14ac:dyDescent="0.2">
      <c r="A375" s="4"/>
      <c r="B375" s="4"/>
    </row>
    <row r="376" spans="1:2" ht="12.75" x14ac:dyDescent="0.2">
      <c r="A376" s="4"/>
      <c r="B376" s="4"/>
    </row>
    <row r="377" spans="1:2" ht="12.75" x14ac:dyDescent="0.2">
      <c r="A377" s="4"/>
      <c r="B377" s="4"/>
    </row>
    <row r="378" spans="1:2" ht="12.75" x14ac:dyDescent="0.2">
      <c r="A378" s="4"/>
      <c r="B378" s="4"/>
    </row>
    <row r="379" spans="1:2" ht="12.75" x14ac:dyDescent="0.2">
      <c r="A379" s="4"/>
      <c r="B379" s="4"/>
    </row>
    <row r="380" spans="1:2" ht="12.75" x14ac:dyDescent="0.2">
      <c r="A380" s="4"/>
      <c r="B380" s="4"/>
    </row>
    <row r="381" spans="1:2" ht="12.75" x14ac:dyDescent="0.2">
      <c r="A381" s="4"/>
      <c r="B381" s="4"/>
    </row>
    <row r="382" spans="1:2" ht="12.75" x14ac:dyDescent="0.2">
      <c r="A382" s="4"/>
      <c r="B382" s="4"/>
    </row>
    <row r="383" spans="1:2" ht="12.75" x14ac:dyDescent="0.2">
      <c r="A383" s="4"/>
      <c r="B383" s="4"/>
    </row>
    <row r="384" spans="1:2" ht="12.75" x14ac:dyDescent="0.2">
      <c r="A384" s="4"/>
      <c r="B384" s="4"/>
    </row>
    <row r="385" spans="1:2" ht="12.75" x14ac:dyDescent="0.2">
      <c r="A385" s="4"/>
      <c r="B385" s="4"/>
    </row>
    <row r="386" spans="1:2" ht="12.75" x14ac:dyDescent="0.2">
      <c r="A386" s="4"/>
      <c r="B386" s="4"/>
    </row>
    <row r="387" spans="1:2" ht="12.75" x14ac:dyDescent="0.2">
      <c r="A387" s="4"/>
      <c r="B387" s="4"/>
    </row>
    <row r="388" spans="1:2" ht="12.75" x14ac:dyDescent="0.2">
      <c r="A388" s="4"/>
      <c r="B388" s="4"/>
    </row>
    <row r="389" spans="1:2" ht="12.75" x14ac:dyDescent="0.2">
      <c r="A389" s="4"/>
      <c r="B389" s="4"/>
    </row>
    <row r="390" spans="1:2" ht="12.75" x14ac:dyDescent="0.2">
      <c r="A390" s="4"/>
      <c r="B390" s="4"/>
    </row>
    <row r="391" spans="1:2" ht="12.75" x14ac:dyDescent="0.2">
      <c r="A391" s="4"/>
      <c r="B391" s="4"/>
    </row>
    <row r="392" spans="1:2" ht="12.75" x14ac:dyDescent="0.2">
      <c r="A392" s="4"/>
      <c r="B392" s="4"/>
    </row>
    <row r="393" spans="1:2" ht="12.75" x14ac:dyDescent="0.2">
      <c r="A393" s="4"/>
      <c r="B393" s="4"/>
    </row>
    <row r="394" spans="1:2" ht="12.75" x14ac:dyDescent="0.2">
      <c r="A394" s="4"/>
      <c r="B394" s="4"/>
    </row>
    <row r="395" spans="1:2" ht="12.75" x14ac:dyDescent="0.2">
      <c r="A395" s="4"/>
      <c r="B395" s="4"/>
    </row>
    <row r="396" spans="1:2" ht="12.75" x14ac:dyDescent="0.2">
      <c r="A396" s="4"/>
      <c r="B396" s="4"/>
    </row>
    <row r="397" spans="1:2" ht="12.75" x14ac:dyDescent="0.2">
      <c r="A397" s="4"/>
      <c r="B397" s="4"/>
    </row>
    <row r="398" spans="1:2" ht="12.75" x14ac:dyDescent="0.2">
      <c r="A398" s="4"/>
      <c r="B398" s="4"/>
    </row>
    <row r="399" spans="1:2" ht="12.75" x14ac:dyDescent="0.2">
      <c r="A399" s="4"/>
      <c r="B399" s="4"/>
    </row>
    <row r="400" spans="1:2" ht="12.75" x14ac:dyDescent="0.2">
      <c r="A400" s="4"/>
      <c r="B400" s="4"/>
    </row>
    <row r="401" spans="1:2" ht="12.75" x14ac:dyDescent="0.2">
      <c r="A401" s="4"/>
      <c r="B401" s="4"/>
    </row>
    <row r="402" spans="1:2" ht="12.75" x14ac:dyDescent="0.2">
      <c r="A402" s="4"/>
      <c r="B402" s="4"/>
    </row>
    <row r="403" spans="1:2" ht="12.75" x14ac:dyDescent="0.2">
      <c r="A403" s="4"/>
      <c r="B403" s="4"/>
    </row>
    <row r="404" spans="1:2" ht="12.75" x14ac:dyDescent="0.2">
      <c r="A404" s="4"/>
      <c r="B404" s="4"/>
    </row>
    <row r="405" spans="1:2" ht="12.75" x14ac:dyDescent="0.2">
      <c r="A405" s="4"/>
      <c r="B405" s="4"/>
    </row>
    <row r="406" spans="1:2" ht="12.75" x14ac:dyDescent="0.2">
      <c r="A406" s="4"/>
      <c r="B406" s="4"/>
    </row>
    <row r="407" spans="1:2" ht="12.75" x14ac:dyDescent="0.2">
      <c r="A407" s="4"/>
      <c r="B407" s="4"/>
    </row>
    <row r="408" spans="1:2" ht="12.75" x14ac:dyDescent="0.2">
      <c r="A408" s="4"/>
      <c r="B408" s="4"/>
    </row>
    <row r="409" spans="1:2" ht="12.75" x14ac:dyDescent="0.2">
      <c r="A409" s="4"/>
      <c r="B409" s="4"/>
    </row>
    <row r="410" spans="1:2" ht="12.75" x14ac:dyDescent="0.2">
      <c r="A410" s="4"/>
      <c r="B410" s="4"/>
    </row>
    <row r="411" spans="1:2" ht="12.75" x14ac:dyDescent="0.2">
      <c r="A411" s="4"/>
      <c r="B411" s="4"/>
    </row>
    <row r="412" spans="1:2" ht="12.75" x14ac:dyDescent="0.2">
      <c r="A412" s="4"/>
      <c r="B412" s="4"/>
    </row>
    <row r="413" spans="1:2" ht="12.75" x14ac:dyDescent="0.2">
      <c r="A413" s="4"/>
      <c r="B413" s="4"/>
    </row>
    <row r="414" spans="1:2" ht="12.75" x14ac:dyDescent="0.2">
      <c r="A414" s="4"/>
      <c r="B414" s="4"/>
    </row>
    <row r="415" spans="1:2" ht="12.75" x14ac:dyDescent="0.2">
      <c r="A415" s="4"/>
      <c r="B415" s="4"/>
    </row>
    <row r="416" spans="1:2" ht="12.75" x14ac:dyDescent="0.2">
      <c r="A416" s="4"/>
      <c r="B416" s="4"/>
    </row>
    <row r="417" spans="1:2" ht="12.75" x14ac:dyDescent="0.2">
      <c r="A417" s="4"/>
      <c r="B417" s="4"/>
    </row>
    <row r="418" spans="1:2" ht="12.75" x14ac:dyDescent="0.2">
      <c r="A418" s="4"/>
      <c r="B418" s="4"/>
    </row>
    <row r="419" spans="1:2" ht="12.75" x14ac:dyDescent="0.2">
      <c r="A419" s="4"/>
      <c r="B419" s="4"/>
    </row>
    <row r="420" spans="1:2" ht="12.75" x14ac:dyDescent="0.2">
      <c r="A420" s="4"/>
      <c r="B420" s="4"/>
    </row>
    <row r="421" spans="1:2" ht="12.75" x14ac:dyDescent="0.2">
      <c r="A421" s="4"/>
      <c r="B421" s="4"/>
    </row>
    <row r="422" spans="1:2" ht="12.75" x14ac:dyDescent="0.2">
      <c r="A422" s="4"/>
      <c r="B422" s="4"/>
    </row>
    <row r="423" spans="1:2" ht="12.75" x14ac:dyDescent="0.2">
      <c r="A423" s="4"/>
      <c r="B423" s="4"/>
    </row>
    <row r="424" spans="1:2" ht="12.75" x14ac:dyDescent="0.2">
      <c r="A424" s="4"/>
      <c r="B424" s="4"/>
    </row>
    <row r="425" spans="1:2" ht="12.75" x14ac:dyDescent="0.2">
      <c r="A425" s="4"/>
      <c r="B425" s="4"/>
    </row>
    <row r="426" spans="1:2" ht="12.75" x14ac:dyDescent="0.2">
      <c r="A426" s="4"/>
      <c r="B426" s="4"/>
    </row>
    <row r="427" spans="1:2" ht="12.75" x14ac:dyDescent="0.2">
      <c r="A427" s="4"/>
      <c r="B427" s="4"/>
    </row>
    <row r="428" spans="1:2" ht="12.75" x14ac:dyDescent="0.2">
      <c r="A428" s="4"/>
      <c r="B428" s="4"/>
    </row>
    <row r="429" spans="1:2" ht="12.75" x14ac:dyDescent="0.2">
      <c r="A429" s="4"/>
      <c r="B429" s="4"/>
    </row>
    <row r="430" spans="1:2" ht="12.75" x14ac:dyDescent="0.2">
      <c r="A430" s="4"/>
      <c r="B430" s="4"/>
    </row>
    <row r="431" spans="1:2" ht="12.75" x14ac:dyDescent="0.2">
      <c r="A431" s="4"/>
      <c r="B431" s="4"/>
    </row>
    <row r="432" spans="1:2" ht="12.75" x14ac:dyDescent="0.2">
      <c r="A432" s="4"/>
      <c r="B432" s="4"/>
    </row>
    <row r="433" spans="1:2" ht="12.75" x14ac:dyDescent="0.2">
      <c r="A433" s="4"/>
      <c r="B433" s="4"/>
    </row>
    <row r="434" spans="1:2" ht="12.75" x14ac:dyDescent="0.2">
      <c r="A434" s="4"/>
      <c r="B434" s="4"/>
    </row>
    <row r="435" spans="1:2" ht="12.75" x14ac:dyDescent="0.2">
      <c r="A435" s="4"/>
      <c r="B435" s="4"/>
    </row>
    <row r="436" spans="1:2" ht="12.75" x14ac:dyDescent="0.2">
      <c r="A436" s="4"/>
      <c r="B436" s="4"/>
    </row>
    <row r="437" spans="1:2" ht="12.75" x14ac:dyDescent="0.2">
      <c r="A437" s="4"/>
      <c r="B437" s="4"/>
    </row>
    <row r="438" spans="1:2" ht="12.75" x14ac:dyDescent="0.2">
      <c r="A438" s="4"/>
      <c r="B438" s="4"/>
    </row>
    <row r="439" spans="1:2" ht="12.75" x14ac:dyDescent="0.2">
      <c r="A439" s="4"/>
      <c r="B439" s="4"/>
    </row>
    <row r="440" spans="1:2" ht="12.75" x14ac:dyDescent="0.2">
      <c r="A440" s="4"/>
      <c r="B440" s="4"/>
    </row>
    <row r="441" spans="1:2" ht="12.75" x14ac:dyDescent="0.2">
      <c r="A441" s="4"/>
      <c r="B441" s="4"/>
    </row>
    <row r="442" spans="1:2" ht="12.75" x14ac:dyDescent="0.2">
      <c r="A442" s="4"/>
      <c r="B442" s="4"/>
    </row>
    <row r="443" spans="1:2" ht="12.75" x14ac:dyDescent="0.2">
      <c r="A443" s="4"/>
      <c r="B443" s="4"/>
    </row>
    <row r="444" spans="1:2" ht="12.75" x14ac:dyDescent="0.2">
      <c r="A444" s="4"/>
      <c r="B444" s="4"/>
    </row>
    <row r="445" spans="1:2" ht="12.75" x14ac:dyDescent="0.2">
      <c r="A445" s="4"/>
      <c r="B445" s="4"/>
    </row>
    <row r="446" spans="1:2" ht="12.75" x14ac:dyDescent="0.2">
      <c r="A446" s="4"/>
      <c r="B446" s="4"/>
    </row>
    <row r="447" spans="1:2" ht="12.75" x14ac:dyDescent="0.2">
      <c r="A447" s="4"/>
      <c r="B447" s="4"/>
    </row>
    <row r="448" spans="1:2" ht="12.75" x14ac:dyDescent="0.2">
      <c r="A448" s="4"/>
      <c r="B448" s="4"/>
    </row>
    <row r="449" spans="1:2" ht="12.75" x14ac:dyDescent="0.2">
      <c r="A449" s="4"/>
      <c r="B449" s="4"/>
    </row>
    <row r="450" spans="1:2" ht="12.75" x14ac:dyDescent="0.2">
      <c r="A450" s="4"/>
      <c r="B450" s="4"/>
    </row>
    <row r="451" spans="1:2" ht="12.75" x14ac:dyDescent="0.2">
      <c r="A451" s="4"/>
      <c r="B451" s="4"/>
    </row>
    <row r="452" spans="1:2" ht="12.75" x14ac:dyDescent="0.2">
      <c r="A452" s="4"/>
      <c r="B452" s="4"/>
    </row>
    <row r="453" spans="1:2" ht="12.75" x14ac:dyDescent="0.2">
      <c r="A453" s="4"/>
      <c r="B453" s="4"/>
    </row>
    <row r="454" spans="1:2" ht="12.75" x14ac:dyDescent="0.2">
      <c r="A454" s="4"/>
      <c r="B454" s="4"/>
    </row>
    <row r="455" spans="1:2" ht="12.75" x14ac:dyDescent="0.2">
      <c r="A455" s="4"/>
      <c r="B455" s="4"/>
    </row>
    <row r="456" spans="1:2" ht="12.75" x14ac:dyDescent="0.2">
      <c r="A456" s="4"/>
      <c r="B456" s="4"/>
    </row>
    <row r="457" spans="1:2" ht="12.75" x14ac:dyDescent="0.2">
      <c r="A457" s="4"/>
      <c r="B457" s="4"/>
    </row>
    <row r="458" spans="1:2" ht="12.75" x14ac:dyDescent="0.2">
      <c r="A458" s="4"/>
      <c r="B458" s="4"/>
    </row>
    <row r="459" spans="1:2" ht="12.75" x14ac:dyDescent="0.2">
      <c r="A459" s="4"/>
      <c r="B459" s="4"/>
    </row>
    <row r="460" spans="1:2" ht="12.75" x14ac:dyDescent="0.2">
      <c r="A460" s="4"/>
      <c r="B460" s="4"/>
    </row>
    <row r="461" spans="1:2" ht="12.75" x14ac:dyDescent="0.2">
      <c r="A461" s="4"/>
      <c r="B461" s="4"/>
    </row>
    <row r="462" spans="1:2" ht="12.75" x14ac:dyDescent="0.2">
      <c r="A462" s="4"/>
      <c r="B462" s="4"/>
    </row>
    <row r="463" spans="1:2" ht="12.75" x14ac:dyDescent="0.2">
      <c r="A463" s="4"/>
      <c r="B463" s="4"/>
    </row>
    <row r="464" spans="1:2" ht="12.75" x14ac:dyDescent="0.2">
      <c r="A464" s="4"/>
      <c r="B464" s="4"/>
    </row>
    <row r="465" spans="1:2" ht="12.75" x14ac:dyDescent="0.2">
      <c r="A465" s="4"/>
      <c r="B465" s="4"/>
    </row>
    <row r="466" spans="1:2" ht="12.75" x14ac:dyDescent="0.2">
      <c r="A466" s="4"/>
      <c r="B466" s="4"/>
    </row>
    <row r="467" spans="1:2" ht="12.75" x14ac:dyDescent="0.2">
      <c r="A467" s="4"/>
      <c r="B467" s="4"/>
    </row>
    <row r="468" spans="1:2" ht="12.75" x14ac:dyDescent="0.2">
      <c r="A468" s="4"/>
      <c r="B468" s="4"/>
    </row>
    <row r="469" spans="1:2" ht="12.75" x14ac:dyDescent="0.2">
      <c r="A469" s="4"/>
      <c r="B469" s="4"/>
    </row>
    <row r="470" spans="1:2" ht="12.75" x14ac:dyDescent="0.2">
      <c r="A470" s="4"/>
      <c r="B470" s="4"/>
    </row>
    <row r="471" spans="1:2" ht="12.75" x14ac:dyDescent="0.2">
      <c r="A471" s="4"/>
      <c r="B471" s="4"/>
    </row>
    <row r="472" spans="1:2" ht="12.75" x14ac:dyDescent="0.2">
      <c r="A472" s="4"/>
      <c r="B472" s="4"/>
    </row>
    <row r="473" spans="1:2" ht="12.75" x14ac:dyDescent="0.2">
      <c r="A473" s="4"/>
      <c r="B473" s="4"/>
    </row>
    <row r="474" spans="1:2" ht="12.75" x14ac:dyDescent="0.2">
      <c r="A474" s="4"/>
      <c r="B474" s="4"/>
    </row>
    <row r="475" spans="1:2" ht="12.75" x14ac:dyDescent="0.2">
      <c r="A475" s="4"/>
      <c r="B475" s="4"/>
    </row>
    <row r="476" spans="1:2" ht="12.75" x14ac:dyDescent="0.2">
      <c r="A476" s="4"/>
      <c r="B476" s="4"/>
    </row>
    <row r="477" spans="1:2" ht="12.75" x14ac:dyDescent="0.2">
      <c r="A477" s="4"/>
      <c r="B477" s="4"/>
    </row>
    <row r="478" spans="1:2" ht="12.75" x14ac:dyDescent="0.2">
      <c r="A478" s="4"/>
      <c r="B478" s="4"/>
    </row>
    <row r="479" spans="1:2" ht="12.75" x14ac:dyDescent="0.2">
      <c r="A479" s="4"/>
      <c r="B479" s="4"/>
    </row>
    <row r="480" spans="1:2" ht="12.75" x14ac:dyDescent="0.2">
      <c r="A480" s="4"/>
      <c r="B480" s="4"/>
    </row>
    <row r="481" spans="1:2" ht="12.75" x14ac:dyDescent="0.2">
      <c r="A481" s="4"/>
      <c r="B481" s="4"/>
    </row>
    <row r="482" spans="1:2" ht="12.75" x14ac:dyDescent="0.2">
      <c r="A482" s="4"/>
      <c r="B482" s="4"/>
    </row>
    <row r="483" spans="1:2" ht="12.75" x14ac:dyDescent="0.2">
      <c r="A483" s="4"/>
      <c r="B483" s="4"/>
    </row>
    <row r="484" spans="1:2" ht="12.75" x14ac:dyDescent="0.2">
      <c r="A484" s="4"/>
      <c r="B484" s="4"/>
    </row>
    <row r="485" spans="1:2" ht="12.75" x14ac:dyDescent="0.2">
      <c r="A485" s="4"/>
      <c r="B485" s="4"/>
    </row>
    <row r="486" spans="1:2" ht="12.75" x14ac:dyDescent="0.2">
      <c r="A486" s="4"/>
      <c r="B486" s="4"/>
    </row>
    <row r="487" spans="1:2" ht="12.75" x14ac:dyDescent="0.2">
      <c r="A487" s="4"/>
      <c r="B487" s="4"/>
    </row>
    <row r="488" spans="1:2" ht="12.75" x14ac:dyDescent="0.2">
      <c r="A488" s="4"/>
      <c r="B488" s="4"/>
    </row>
    <row r="489" spans="1:2" ht="12.75" x14ac:dyDescent="0.2">
      <c r="A489" s="4"/>
      <c r="B489" s="4"/>
    </row>
    <row r="490" spans="1:2" ht="12.75" x14ac:dyDescent="0.2">
      <c r="A490" s="4"/>
      <c r="B490" s="4"/>
    </row>
    <row r="491" spans="1:2" ht="12.75" x14ac:dyDescent="0.2">
      <c r="A491" s="4"/>
      <c r="B491" s="4"/>
    </row>
    <row r="492" spans="1:2" ht="12.75" x14ac:dyDescent="0.2">
      <c r="A492" s="4"/>
      <c r="B492" s="4"/>
    </row>
    <row r="493" spans="1:2" ht="12.75" x14ac:dyDescent="0.2">
      <c r="A493" s="4"/>
      <c r="B493" s="4"/>
    </row>
    <row r="494" spans="1:2" ht="12.75" x14ac:dyDescent="0.2">
      <c r="A494" s="4"/>
      <c r="B494" s="4"/>
    </row>
    <row r="495" spans="1:2" ht="12.75" x14ac:dyDescent="0.2">
      <c r="A495" s="4"/>
      <c r="B495" s="4"/>
    </row>
    <row r="496" spans="1:2" ht="12.75" x14ac:dyDescent="0.2">
      <c r="A496" s="4"/>
      <c r="B496" s="4"/>
    </row>
    <row r="497" spans="1:2" ht="12.75" x14ac:dyDescent="0.2">
      <c r="A497" s="4"/>
      <c r="B497" s="4"/>
    </row>
    <row r="498" spans="1:2" ht="12.75" x14ac:dyDescent="0.2">
      <c r="A498" s="4"/>
      <c r="B498" s="4"/>
    </row>
    <row r="499" spans="1:2" ht="12.75" x14ac:dyDescent="0.2">
      <c r="A499" s="4"/>
      <c r="B499" s="4"/>
    </row>
    <row r="500" spans="1:2" ht="12.75" x14ac:dyDescent="0.2">
      <c r="A500" s="4"/>
      <c r="B500" s="4"/>
    </row>
    <row r="501" spans="1:2" ht="12.75" x14ac:dyDescent="0.2">
      <c r="A501" s="4"/>
      <c r="B501" s="4"/>
    </row>
    <row r="502" spans="1:2" ht="12.75" x14ac:dyDescent="0.2">
      <c r="A502" s="4"/>
      <c r="B502" s="4"/>
    </row>
    <row r="503" spans="1:2" ht="12.75" x14ac:dyDescent="0.2">
      <c r="A503" s="4"/>
      <c r="B503" s="4"/>
    </row>
    <row r="504" spans="1:2" ht="12.75" x14ac:dyDescent="0.2">
      <c r="A504" s="4"/>
      <c r="B504" s="4"/>
    </row>
    <row r="505" spans="1:2" ht="12.75" x14ac:dyDescent="0.2">
      <c r="A505" s="4"/>
      <c r="B505" s="4"/>
    </row>
    <row r="506" spans="1:2" ht="12.75" x14ac:dyDescent="0.2">
      <c r="A506" s="4"/>
      <c r="B506" s="4"/>
    </row>
    <row r="507" spans="1:2" ht="12.75" x14ac:dyDescent="0.2">
      <c r="A507" s="4"/>
      <c r="B507" s="4"/>
    </row>
    <row r="508" spans="1:2" ht="12.75" x14ac:dyDescent="0.2">
      <c r="A508" s="4"/>
      <c r="B508" s="4"/>
    </row>
    <row r="509" spans="1:2" ht="12.75" x14ac:dyDescent="0.2">
      <c r="A509" s="4"/>
      <c r="B509" s="4"/>
    </row>
    <row r="510" spans="1:2" ht="12.75" x14ac:dyDescent="0.2">
      <c r="A510" s="4"/>
      <c r="B510" s="4"/>
    </row>
    <row r="511" spans="1:2" ht="12.75" x14ac:dyDescent="0.2">
      <c r="A511" s="4"/>
      <c r="B511" s="4"/>
    </row>
    <row r="512" spans="1:2" ht="12.75" x14ac:dyDescent="0.2">
      <c r="A512" s="4"/>
      <c r="B512" s="4"/>
    </row>
    <row r="513" spans="1:2" ht="12.75" x14ac:dyDescent="0.2">
      <c r="A513" s="4"/>
      <c r="B513" s="4"/>
    </row>
    <row r="514" spans="1:2" ht="12.75" x14ac:dyDescent="0.2">
      <c r="A514" s="4"/>
      <c r="B514" s="4"/>
    </row>
    <row r="515" spans="1:2" ht="12.75" x14ac:dyDescent="0.2">
      <c r="A515" s="4"/>
      <c r="B515" s="4"/>
    </row>
    <row r="516" spans="1:2" ht="12.75" x14ac:dyDescent="0.2">
      <c r="A516" s="4"/>
      <c r="B516" s="4"/>
    </row>
    <row r="517" spans="1:2" ht="12.75" x14ac:dyDescent="0.2">
      <c r="A517" s="4"/>
      <c r="B517" s="4"/>
    </row>
    <row r="518" spans="1:2" ht="12.75" x14ac:dyDescent="0.2">
      <c r="A518" s="4"/>
      <c r="B518" s="4"/>
    </row>
    <row r="519" spans="1:2" ht="12.75" x14ac:dyDescent="0.2">
      <c r="A519" s="4"/>
      <c r="B519" s="4"/>
    </row>
    <row r="520" spans="1:2" ht="12.75" x14ac:dyDescent="0.2">
      <c r="A520" s="4"/>
      <c r="B520" s="4"/>
    </row>
    <row r="521" spans="1:2" ht="12.75" x14ac:dyDescent="0.2">
      <c r="A521" s="4"/>
      <c r="B521" s="4"/>
    </row>
    <row r="522" spans="1:2" ht="12.75" x14ac:dyDescent="0.2">
      <c r="A522" s="4"/>
      <c r="B522" s="4"/>
    </row>
    <row r="523" spans="1:2" ht="12.75" x14ac:dyDescent="0.2">
      <c r="A523" s="4"/>
      <c r="B523" s="4"/>
    </row>
    <row r="524" spans="1:2" ht="12.75" x14ac:dyDescent="0.2">
      <c r="A524" s="4"/>
      <c r="B524" s="4"/>
    </row>
    <row r="525" spans="1:2" ht="12.75" x14ac:dyDescent="0.2">
      <c r="A525" s="4"/>
      <c r="B525" s="4"/>
    </row>
    <row r="526" spans="1:2" ht="12.75" x14ac:dyDescent="0.2">
      <c r="A526" s="4"/>
      <c r="B526" s="4"/>
    </row>
    <row r="527" spans="1:2" ht="12.75" x14ac:dyDescent="0.2">
      <c r="A527" s="4"/>
      <c r="B527" s="4"/>
    </row>
    <row r="528" spans="1:2" ht="12.75" x14ac:dyDescent="0.2">
      <c r="A528" s="4"/>
      <c r="B528" s="4"/>
    </row>
    <row r="529" spans="1:2" ht="12.75" x14ac:dyDescent="0.2">
      <c r="A529" s="4"/>
      <c r="B529" s="4"/>
    </row>
    <row r="530" spans="1:2" ht="12.75" x14ac:dyDescent="0.2">
      <c r="A530" s="4"/>
      <c r="B530" s="4"/>
    </row>
    <row r="531" spans="1:2" ht="12.75" x14ac:dyDescent="0.2">
      <c r="A531" s="4"/>
      <c r="B531" s="4"/>
    </row>
    <row r="532" spans="1:2" ht="12.75" x14ac:dyDescent="0.2">
      <c r="A532" s="4"/>
      <c r="B532" s="4"/>
    </row>
    <row r="533" spans="1:2" ht="12.75" x14ac:dyDescent="0.2">
      <c r="A533" s="4"/>
      <c r="B533" s="4"/>
    </row>
    <row r="534" spans="1:2" ht="12.75" x14ac:dyDescent="0.2">
      <c r="A534" s="4"/>
      <c r="B534" s="4"/>
    </row>
    <row r="535" spans="1:2" ht="12.75" x14ac:dyDescent="0.2">
      <c r="A535" s="4"/>
      <c r="B535" s="4"/>
    </row>
    <row r="536" spans="1:2" ht="12.75" x14ac:dyDescent="0.2">
      <c r="A536" s="4"/>
      <c r="B536" s="4"/>
    </row>
    <row r="537" spans="1:2" ht="12.75" x14ac:dyDescent="0.2">
      <c r="A537" s="4"/>
      <c r="B537" s="4"/>
    </row>
    <row r="538" spans="1:2" ht="12.75" x14ac:dyDescent="0.2">
      <c r="A538" s="4"/>
      <c r="B538" s="4"/>
    </row>
    <row r="539" spans="1:2" ht="12.75" x14ac:dyDescent="0.2">
      <c r="A539" s="4"/>
      <c r="B539" s="4"/>
    </row>
    <row r="540" spans="1:2" ht="12.75" x14ac:dyDescent="0.2">
      <c r="A540" s="4"/>
      <c r="B540" s="4"/>
    </row>
    <row r="541" spans="1:2" ht="12.75" x14ac:dyDescent="0.2">
      <c r="A541" s="4"/>
      <c r="B541" s="4"/>
    </row>
    <row r="542" spans="1:2" ht="12.75" x14ac:dyDescent="0.2">
      <c r="A542" s="4"/>
      <c r="B542" s="4"/>
    </row>
    <row r="543" spans="1:2" ht="12.75" x14ac:dyDescent="0.2">
      <c r="A543" s="4"/>
      <c r="B543" s="4"/>
    </row>
    <row r="544" spans="1:2" ht="12.75" x14ac:dyDescent="0.2">
      <c r="A544" s="4"/>
      <c r="B544" s="4"/>
    </row>
    <row r="545" spans="1:2" ht="12.75" x14ac:dyDescent="0.2">
      <c r="A545" s="4"/>
      <c r="B545" s="4"/>
    </row>
    <row r="546" spans="1:2" ht="12.75" x14ac:dyDescent="0.2">
      <c r="A546" s="4"/>
      <c r="B546" s="4"/>
    </row>
    <row r="547" spans="1:2" ht="12.75" x14ac:dyDescent="0.2">
      <c r="A547" s="4"/>
      <c r="B547" s="4"/>
    </row>
    <row r="548" spans="1:2" ht="12.75" x14ac:dyDescent="0.2">
      <c r="A548" s="4"/>
      <c r="B548" s="4"/>
    </row>
    <row r="549" spans="1:2" ht="12.75" x14ac:dyDescent="0.2">
      <c r="A549" s="4"/>
      <c r="B549" s="4"/>
    </row>
    <row r="550" spans="1:2" ht="12.75" x14ac:dyDescent="0.2">
      <c r="A550" s="4"/>
      <c r="B550" s="4"/>
    </row>
    <row r="551" spans="1:2" ht="12.75" x14ac:dyDescent="0.2">
      <c r="A551" s="4"/>
      <c r="B551" s="4"/>
    </row>
    <row r="552" spans="1:2" ht="12.75" x14ac:dyDescent="0.2">
      <c r="A552" s="4"/>
      <c r="B552" s="4"/>
    </row>
    <row r="553" spans="1:2" ht="12.75" x14ac:dyDescent="0.2">
      <c r="A553" s="4"/>
      <c r="B553" s="4"/>
    </row>
    <row r="554" spans="1:2" ht="12.75" x14ac:dyDescent="0.2">
      <c r="A554" s="4"/>
      <c r="B554" s="4"/>
    </row>
    <row r="555" spans="1:2" ht="12.75" x14ac:dyDescent="0.2">
      <c r="A555" s="4"/>
      <c r="B555" s="4"/>
    </row>
    <row r="556" spans="1:2" ht="12.75" x14ac:dyDescent="0.2">
      <c r="A556" s="4"/>
      <c r="B556" s="4"/>
    </row>
    <row r="557" spans="1:2" ht="12.75" x14ac:dyDescent="0.2">
      <c r="A557" s="4"/>
      <c r="B557" s="4"/>
    </row>
    <row r="558" spans="1:2" ht="12.75" x14ac:dyDescent="0.2">
      <c r="A558" s="4"/>
      <c r="B558" s="4"/>
    </row>
    <row r="559" spans="1:2" ht="12.75" x14ac:dyDescent="0.2">
      <c r="A559" s="4"/>
      <c r="B559" s="4"/>
    </row>
    <row r="560" spans="1:2" ht="12.75" x14ac:dyDescent="0.2">
      <c r="A560" s="4"/>
      <c r="B560" s="4"/>
    </row>
    <row r="561" spans="1:2" ht="12.75" x14ac:dyDescent="0.2">
      <c r="A561" s="4"/>
      <c r="B561" s="4"/>
    </row>
    <row r="562" spans="1:2" ht="12.75" x14ac:dyDescent="0.2">
      <c r="A562" s="4"/>
      <c r="B562" s="4"/>
    </row>
    <row r="563" spans="1:2" ht="12.75" x14ac:dyDescent="0.2">
      <c r="A563" s="4"/>
      <c r="B563" s="4"/>
    </row>
    <row r="564" spans="1:2" ht="12.75" x14ac:dyDescent="0.2">
      <c r="A564" s="4"/>
      <c r="B564" s="4"/>
    </row>
    <row r="565" spans="1:2" ht="12.75" x14ac:dyDescent="0.2">
      <c r="A565" s="4"/>
      <c r="B565" s="4"/>
    </row>
    <row r="566" spans="1:2" ht="12.75" x14ac:dyDescent="0.2">
      <c r="A566" s="4"/>
      <c r="B566" s="4"/>
    </row>
    <row r="567" spans="1:2" ht="12.75" x14ac:dyDescent="0.2">
      <c r="A567" s="4"/>
      <c r="B567" s="4"/>
    </row>
    <row r="568" spans="1:2" ht="12.75" x14ac:dyDescent="0.2">
      <c r="A568" s="4"/>
      <c r="B568" s="4"/>
    </row>
    <row r="569" spans="1:2" ht="12.75" x14ac:dyDescent="0.2">
      <c r="A569" s="4"/>
      <c r="B569" s="4"/>
    </row>
    <row r="570" spans="1:2" ht="12.75" x14ac:dyDescent="0.2">
      <c r="A570" s="4"/>
      <c r="B570" s="4"/>
    </row>
    <row r="571" spans="1:2" ht="12.75" x14ac:dyDescent="0.2">
      <c r="A571" s="4"/>
      <c r="B571" s="4"/>
    </row>
    <row r="572" spans="1:2" ht="12.75" x14ac:dyDescent="0.2">
      <c r="A572" s="4"/>
      <c r="B572" s="4"/>
    </row>
    <row r="573" spans="1:2" ht="12.75" x14ac:dyDescent="0.2">
      <c r="A573" s="4"/>
      <c r="B573" s="4"/>
    </row>
    <row r="574" spans="1:2" ht="12.75" x14ac:dyDescent="0.2">
      <c r="A574" s="4"/>
      <c r="B574" s="4"/>
    </row>
    <row r="575" spans="1:2" ht="12.75" x14ac:dyDescent="0.2">
      <c r="A575" s="4"/>
      <c r="B575" s="4"/>
    </row>
    <row r="576" spans="1:2" ht="12.75" x14ac:dyDescent="0.2">
      <c r="A576" s="4"/>
      <c r="B576" s="4"/>
    </row>
    <row r="577" spans="1:2" ht="12.75" x14ac:dyDescent="0.2">
      <c r="A577" s="4"/>
      <c r="B577" s="4"/>
    </row>
    <row r="578" spans="1:2" ht="12.75" x14ac:dyDescent="0.2">
      <c r="A578" s="4"/>
      <c r="B578" s="4"/>
    </row>
    <row r="579" spans="1:2" ht="12.75" x14ac:dyDescent="0.2">
      <c r="A579" s="4"/>
      <c r="B579" s="4"/>
    </row>
    <row r="580" spans="1:2" ht="12.75" x14ac:dyDescent="0.2">
      <c r="A580" s="4"/>
      <c r="B580" s="4"/>
    </row>
    <row r="581" spans="1:2" ht="12.75" x14ac:dyDescent="0.2">
      <c r="A581" s="4"/>
      <c r="B581" s="4"/>
    </row>
    <row r="582" spans="1:2" ht="12.75" x14ac:dyDescent="0.2">
      <c r="A582" s="4"/>
      <c r="B582" s="4"/>
    </row>
    <row r="583" spans="1:2" ht="12.75" x14ac:dyDescent="0.2">
      <c r="A583" s="4"/>
      <c r="B583" s="4"/>
    </row>
    <row r="584" spans="1:2" ht="12.75" x14ac:dyDescent="0.2">
      <c r="A584" s="4"/>
      <c r="B584" s="4"/>
    </row>
    <row r="585" spans="1:2" ht="12.75" x14ac:dyDescent="0.2">
      <c r="A585" s="4"/>
      <c r="B585" s="4"/>
    </row>
    <row r="586" spans="1:2" ht="12.75" x14ac:dyDescent="0.2">
      <c r="A586" s="4"/>
      <c r="B586" s="4"/>
    </row>
    <row r="587" spans="1:2" ht="12.75" x14ac:dyDescent="0.2">
      <c r="A587" s="4"/>
      <c r="B587" s="4"/>
    </row>
    <row r="588" spans="1:2" ht="12.75" x14ac:dyDescent="0.2">
      <c r="A588" s="4"/>
      <c r="B588" s="4"/>
    </row>
    <row r="589" spans="1:2" ht="12.75" x14ac:dyDescent="0.2">
      <c r="A589" s="4"/>
      <c r="B589" s="4"/>
    </row>
    <row r="590" spans="1:2" ht="12.75" x14ac:dyDescent="0.2">
      <c r="A590" s="4"/>
      <c r="B590" s="4"/>
    </row>
    <row r="591" spans="1:2" ht="12.75" x14ac:dyDescent="0.2">
      <c r="A591" s="4"/>
      <c r="B591" s="4"/>
    </row>
    <row r="592" spans="1:2" ht="12.75" x14ac:dyDescent="0.2">
      <c r="A592" s="4"/>
      <c r="B592" s="4"/>
    </row>
    <row r="593" spans="1:2" ht="12.75" x14ac:dyDescent="0.2">
      <c r="A593" s="4"/>
      <c r="B593" s="4"/>
    </row>
    <row r="594" spans="1:2" ht="12.75" x14ac:dyDescent="0.2">
      <c r="A594" s="4"/>
      <c r="B594" s="4"/>
    </row>
    <row r="595" spans="1:2" ht="12.75" x14ac:dyDescent="0.2">
      <c r="A595" s="4"/>
      <c r="B595" s="4"/>
    </row>
    <row r="596" spans="1:2" ht="12.75" x14ac:dyDescent="0.2">
      <c r="A596" s="4"/>
      <c r="B596" s="4"/>
    </row>
    <row r="597" spans="1:2" ht="12.75" x14ac:dyDescent="0.2">
      <c r="A597" s="4"/>
      <c r="B597" s="4"/>
    </row>
    <row r="598" spans="1:2" ht="12.75" x14ac:dyDescent="0.2">
      <c r="A598" s="4"/>
      <c r="B598" s="4"/>
    </row>
    <row r="599" spans="1:2" ht="12.75" x14ac:dyDescent="0.2">
      <c r="A599" s="4"/>
      <c r="B599" s="4"/>
    </row>
    <row r="600" spans="1:2" ht="12.75" x14ac:dyDescent="0.2">
      <c r="A600" s="4"/>
      <c r="B600" s="4"/>
    </row>
    <row r="601" spans="1:2" ht="12.75" x14ac:dyDescent="0.2">
      <c r="A601" s="4"/>
      <c r="B601" s="4"/>
    </row>
    <row r="602" spans="1:2" ht="12.75" x14ac:dyDescent="0.2">
      <c r="A602" s="4"/>
      <c r="B602" s="4"/>
    </row>
    <row r="603" spans="1:2" ht="12.75" x14ac:dyDescent="0.2">
      <c r="A603" s="4"/>
      <c r="B603" s="4"/>
    </row>
    <row r="604" spans="1:2" ht="12.75" x14ac:dyDescent="0.2">
      <c r="A604" s="4"/>
      <c r="B604" s="4"/>
    </row>
    <row r="605" spans="1:2" ht="12.75" x14ac:dyDescent="0.2">
      <c r="A605" s="4"/>
      <c r="B605" s="4"/>
    </row>
    <row r="606" spans="1:2" ht="12.75" x14ac:dyDescent="0.2">
      <c r="A606" s="4"/>
      <c r="B606" s="4"/>
    </row>
    <row r="607" spans="1:2" ht="12.75" x14ac:dyDescent="0.2">
      <c r="A607" s="4"/>
      <c r="B607" s="4"/>
    </row>
    <row r="608" spans="1:2" ht="12.75" x14ac:dyDescent="0.2">
      <c r="A608" s="4"/>
      <c r="B608" s="4"/>
    </row>
    <row r="609" spans="1:2" ht="12.75" x14ac:dyDescent="0.2">
      <c r="A609" s="4"/>
      <c r="B609" s="4"/>
    </row>
    <row r="610" spans="1:2" ht="12.75" x14ac:dyDescent="0.2">
      <c r="A610" s="4"/>
      <c r="B610" s="4"/>
    </row>
    <row r="611" spans="1:2" ht="12.75" x14ac:dyDescent="0.2">
      <c r="A611" s="4"/>
      <c r="B611" s="4"/>
    </row>
    <row r="612" spans="1:2" ht="12.75" x14ac:dyDescent="0.2">
      <c r="A612" s="4"/>
      <c r="B612" s="4"/>
    </row>
    <row r="613" spans="1:2" ht="12.75" x14ac:dyDescent="0.2">
      <c r="A613" s="4"/>
      <c r="B613" s="4"/>
    </row>
    <row r="614" spans="1:2" ht="12.75" x14ac:dyDescent="0.2">
      <c r="A614" s="4"/>
      <c r="B614" s="4"/>
    </row>
    <row r="615" spans="1:2" ht="12.75" x14ac:dyDescent="0.2">
      <c r="A615" s="4"/>
      <c r="B615" s="4"/>
    </row>
    <row r="616" spans="1:2" ht="12.75" x14ac:dyDescent="0.2">
      <c r="A616" s="4"/>
      <c r="B616" s="4"/>
    </row>
    <row r="617" spans="1:2" ht="12.75" x14ac:dyDescent="0.2">
      <c r="A617" s="4"/>
      <c r="B617" s="4"/>
    </row>
    <row r="618" spans="1:2" ht="12.75" x14ac:dyDescent="0.2">
      <c r="A618" s="4"/>
      <c r="B618" s="4"/>
    </row>
    <row r="619" spans="1:2" ht="12.75" x14ac:dyDescent="0.2">
      <c r="A619" s="4"/>
      <c r="B619" s="4"/>
    </row>
    <row r="620" spans="1:2" ht="12.75" x14ac:dyDescent="0.2">
      <c r="A620" s="4"/>
      <c r="B620" s="4"/>
    </row>
    <row r="621" spans="1:2" ht="12.75" x14ac:dyDescent="0.2">
      <c r="A621" s="4"/>
      <c r="B621" s="4"/>
    </row>
    <row r="622" spans="1:2" ht="12.75" x14ac:dyDescent="0.2">
      <c r="A622" s="4"/>
      <c r="B622" s="4"/>
    </row>
    <row r="623" spans="1:2" ht="12.75" x14ac:dyDescent="0.2">
      <c r="A623" s="4"/>
      <c r="B623" s="4"/>
    </row>
    <row r="624" spans="1:2" ht="12.75" x14ac:dyDescent="0.2">
      <c r="A624" s="4"/>
      <c r="B624" s="4"/>
    </row>
    <row r="625" spans="1:2" ht="12.75" x14ac:dyDescent="0.2">
      <c r="A625" s="4"/>
      <c r="B625" s="4"/>
    </row>
    <row r="626" spans="1:2" ht="12.75" x14ac:dyDescent="0.2">
      <c r="A626" s="4"/>
      <c r="B626" s="4"/>
    </row>
    <row r="627" spans="1:2" ht="12.75" x14ac:dyDescent="0.2">
      <c r="A627" s="4"/>
      <c r="B627" s="4"/>
    </row>
    <row r="628" spans="1:2" ht="12.75" x14ac:dyDescent="0.2">
      <c r="A628" s="4"/>
      <c r="B628" s="4"/>
    </row>
    <row r="629" spans="1:2" ht="12.75" x14ac:dyDescent="0.2">
      <c r="A629" s="4"/>
      <c r="B629" s="4"/>
    </row>
    <row r="630" spans="1:2" ht="12.75" x14ac:dyDescent="0.2">
      <c r="A630" s="4"/>
      <c r="B630" s="4"/>
    </row>
    <row r="631" spans="1:2" ht="12.75" x14ac:dyDescent="0.2">
      <c r="A631" s="4"/>
      <c r="B631" s="4"/>
    </row>
    <row r="632" spans="1:2" ht="12.75" x14ac:dyDescent="0.2">
      <c r="A632" s="4"/>
      <c r="B632" s="4"/>
    </row>
    <row r="633" spans="1:2" ht="12.75" x14ac:dyDescent="0.2">
      <c r="A633" s="4"/>
      <c r="B633" s="4"/>
    </row>
    <row r="634" spans="1:2" ht="12.75" x14ac:dyDescent="0.2">
      <c r="A634" s="4"/>
      <c r="B634" s="4"/>
    </row>
    <row r="635" spans="1:2" ht="12.75" x14ac:dyDescent="0.2">
      <c r="A635" s="4"/>
      <c r="B635" s="4"/>
    </row>
    <row r="636" spans="1:2" ht="12.75" x14ac:dyDescent="0.2">
      <c r="A636" s="4"/>
      <c r="B636" s="4"/>
    </row>
    <row r="637" spans="1:2" ht="12.75" x14ac:dyDescent="0.2">
      <c r="A637" s="4"/>
      <c r="B637" s="4"/>
    </row>
    <row r="638" spans="1:2" ht="12.75" x14ac:dyDescent="0.2">
      <c r="A638" s="4"/>
      <c r="B638" s="4"/>
    </row>
    <row r="639" spans="1:2" ht="12.75" x14ac:dyDescent="0.2">
      <c r="A639" s="4"/>
      <c r="B639" s="4"/>
    </row>
    <row r="640" spans="1:2" ht="12.75" x14ac:dyDescent="0.2">
      <c r="A640" s="4"/>
      <c r="B640" s="4"/>
    </row>
    <row r="641" spans="1:2" ht="12.75" x14ac:dyDescent="0.2">
      <c r="A641" s="4"/>
      <c r="B641" s="4"/>
    </row>
    <row r="642" spans="1:2" ht="12.75" x14ac:dyDescent="0.2">
      <c r="A642" s="4"/>
      <c r="B642" s="4"/>
    </row>
    <row r="643" spans="1:2" ht="12.75" x14ac:dyDescent="0.2">
      <c r="A643" s="4"/>
      <c r="B643" s="4"/>
    </row>
    <row r="644" spans="1:2" ht="12.75" x14ac:dyDescent="0.2">
      <c r="A644" s="4"/>
      <c r="B644" s="4"/>
    </row>
    <row r="645" spans="1:2" ht="12.75" x14ac:dyDescent="0.2">
      <c r="A645" s="4"/>
      <c r="B645" s="4"/>
    </row>
    <row r="646" spans="1:2" ht="12.75" x14ac:dyDescent="0.2">
      <c r="A646" s="4"/>
      <c r="B646" s="4"/>
    </row>
    <row r="647" spans="1:2" ht="12.75" x14ac:dyDescent="0.2">
      <c r="A647" s="4"/>
      <c r="B647" s="4"/>
    </row>
    <row r="648" spans="1:2" ht="12.75" x14ac:dyDescent="0.2">
      <c r="A648" s="4"/>
      <c r="B648" s="4"/>
    </row>
    <row r="649" spans="1:2" ht="12.75" x14ac:dyDescent="0.2">
      <c r="A649" s="4"/>
      <c r="B649" s="4"/>
    </row>
    <row r="650" spans="1:2" ht="12.75" x14ac:dyDescent="0.2">
      <c r="A650" s="4"/>
      <c r="B650" s="4"/>
    </row>
    <row r="651" spans="1:2" ht="12.75" x14ac:dyDescent="0.2">
      <c r="A651" s="4"/>
      <c r="B651" s="4"/>
    </row>
    <row r="652" spans="1:2" ht="12.75" x14ac:dyDescent="0.2">
      <c r="A652" s="4"/>
      <c r="B652" s="4"/>
    </row>
    <row r="653" spans="1:2" ht="12.75" x14ac:dyDescent="0.2">
      <c r="A653" s="4"/>
      <c r="B653" s="4"/>
    </row>
    <row r="654" spans="1:2" ht="12.75" x14ac:dyDescent="0.2">
      <c r="A654" s="4"/>
      <c r="B654" s="4"/>
    </row>
    <row r="655" spans="1:2" ht="12.75" x14ac:dyDescent="0.2">
      <c r="A655" s="4"/>
      <c r="B655" s="4"/>
    </row>
    <row r="656" spans="1:2" ht="12.75" x14ac:dyDescent="0.2">
      <c r="A656" s="4"/>
      <c r="B656" s="4"/>
    </row>
    <row r="657" spans="1:2" ht="12.75" x14ac:dyDescent="0.2">
      <c r="A657" s="4"/>
      <c r="B657" s="4"/>
    </row>
    <row r="658" spans="1:2" ht="12.75" x14ac:dyDescent="0.2">
      <c r="A658" s="4"/>
      <c r="B658" s="4"/>
    </row>
    <row r="659" spans="1:2" ht="12.75" x14ac:dyDescent="0.2">
      <c r="A659" s="4"/>
      <c r="B659" s="4"/>
    </row>
    <row r="660" spans="1:2" ht="12.75" x14ac:dyDescent="0.2">
      <c r="A660" s="4"/>
      <c r="B660" s="4"/>
    </row>
    <row r="661" spans="1:2" ht="12.75" x14ac:dyDescent="0.2">
      <c r="A661" s="4"/>
      <c r="B661" s="4"/>
    </row>
    <row r="662" spans="1:2" ht="12.75" x14ac:dyDescent="0.2">
      <c r="A662" s="4"/>
      <c r="B662" s="4"/>
    </row>
    <row r="663" spans="1:2" ht="12.75" x14ac:dyDescent="0.2">
      <c r="A663" s="4"/>
      <c r="B663" s="4"/>
    </row>
    <row r="664" spans="1:2" ht="12.75" x14ac:dyDescent="0.2">
      <c r="A664" s="4"/>
      <c r="B664" s="4"/>
    </row>
    <row r="665" spans="1:2" ht="12.75" x14ac:dyDescent="0.2">
      <c r="A665" s="4"/>
      <c r="B665" s="4"/>
    </row>
    <row r="666" spans="1:2" ht="12.75" x14ac:dyDescent="0.2">
      <c r="A666" s="4"/>
      <c r="B666" s="4"/>
    </row>
    <row r="667" spans="1:2" ht="12.75" x14ac:dyDescent="0.2">
      <c r="A667" s="4"/>
      <c r="B667" s="4"/>
    </row>
    <row r="668" spans="1:2" ht="12.75" x14ac:dyDescent="0.2">
      <c r="A668" s="4"/>
      <c r="B668" s="4"/>
    </row>
    <row r="669" spans="1:2" ht="12.75" x14ac:dyDescent="0.2">
      <c r="A669" s="4"/>
      <c r="B669" s="4"/>
    </row>
    <row r="670" spans="1:2" ht="12.75" x14ac:dyDescent="0.2">
      <c r="A670" s="4"/>
      <c r="B670" s="4"/>
    </row>
    <row r="671" spans="1:2" ht="12.75" x14ac:dyDescent="0.2">
      <c r="A671" s="4"/>
      <c r="B671" s="4"/>
    </row>
    <row r="672" spans="1:2" ht="12.75" x14ac:dyDescent="0.2">
      <c r="A672" s="4"/>
      <c r="B672" s="4"/>
    </row>
    <row r="673" spans="1:2" ht="12.75" x14ac:dyDescent="0.2">
      <c r="A673" s="4"/>
      <c r="B673" s="4"/>
    </row>
    <row r="674" spans="1:2" ht="12.75" x14ac:dyDescent="0.2">
      <c r="A674" s="4"/>
      <c r="B674" s="4"/>
    </row>
    <row r="675" spans="1:2" ht="12.75" x14ac:dyDescent="0.2">
      <c r="A675" s="4"/>
      <c r="B675" s="4"/>
    </row>
    <row r="676" spans="1:2" ht="12.75" x14ac:dyDescent="0.2">
      <c r="A676" s="4"/>
      <c r="B676" s="4"/>
    </row>
    <row r="677" spans="1:2" ht="12.75" x14ac:dyDescent="0.2">
      <c r="A677" s="4"/>
      <c r="B677" s="4"/>
    </row>
    <row r="678" spans="1:2" ht="12.75" x14ac:dyDescent="0.2">
      <c r="A678" s="4"/>
      <c r="B678" s="4"/>
    </row>
    <row r="679" spans="1:2" ht="12.75" x14ac:dyDescent="0.2">
      <c r="A679" s="4"/>
      <c r="B679" s="4"/>
    </row>
    <row r="680" spans="1:2" ht="12.75" x14ac:dyDescent="0.2">
      <c r="A680" s="4"/>
      <c r="B680" s="4"/>
    </row>
    <row r="681" spans="1:2" ht="12.75" x14ac:dyDescent="0.2">
      <c r="A681" s="4"/>
      <c r="B681" s="4"/>
    </row>
    <row r="682" spans="1:2" ht="12.75" x14ac:dyDescent="0.2">
      <c r="A682" s="4"/>
      <c r="B682" s="4"/>
    </row>
    <row r="683" spans="1:2" ht="12.75" x14ac:dyDescent="0.2">
      <c r="A683" s="4"/>
      <c r="B683" s="4"/>
    </row>
    <row r="684" spans="1:2" ht="12.75" x14ac:dyDescent="0.2">
      <c r="A684" s="4"/>
      <c r="B684" s="4"/>
    </row>
    <row r="685" spans="1:2" ht="12.75" x14ac:dyDescent="0.2">
      <c r="A685" s="4"/>
      <c r="B685" s="4"/>
    </row>
    <row r="686" spans="1:2" ht="12.75" x14ac:dyDescent="0.2">
      <c r="A686" s="4"/>
      <c r="B686" s="4"/>
    </row>
    <row r="687" spans="1:2" ht="12.75" x14ac:dyDescent="0.2">
      <c r="A687" s="4"/>
      <c r="B687" s="4"/>
    </row>
    <row r="688" spans="1:2" ht="12.75" x14ac:dyDescent="0.2">
      <c r="A688" s="4"/>
      <c r="B688" s="4"/>
    </row>
    <row r="689" spans="1:2" ht="12.75" x14ac:dyDescent="0.2">
      <c r="A689" s="4"/>
      <c r="B689" s="4"/>
    </row>
    <row r="690" spans="1:2" ht="12.75" x14ac:dyDescent="0.2">
      <c r="A690" s="4"/>
      <c r="B690" s="4"/>
    </row>
    <row r="691" spans="1:2" ht="12.75" x14ac:dyDescent="0.2">
      <c r="A691" s="4"/>
      <c r="B691" s="4"/>
    </row>
    <row r="692" spans="1:2" ht="12.75" x14ac:dyDescent="0.2">
      <c r="A692" s="4"/>
      <c r="B692" s="4"/>
    </row>
    <row r="693" spans="1:2" ht="12.75" x14ac:dyDescent="0.2">
      <c r="A693" s="4"/>
      <c r="B693" s="4"/>
    </row>
    <row r="694" spans="1:2" ht="12.75" x14ac:dyDescent="0.2">
      <c r="A694" s="4"/>
      <c r="B694" s="4"/>
    </row>
    <row r="695" spans="1:2" ht="12.75" x14ac:dyDescent="0.2">
      <c r="A695" s="4"/>
      <c r="B695" s="4"/>
    </row>
    <row r="696" spans="1:2" ht="12.75" x14ac:dyDescent="0.2">
      <c r="A696" s="4"/>
      <c r="B696" s="4"/>
    </row>
    <row r="697" spans="1:2" ht="12.75" x14ac:dyDescent="0.2">
      <c r="A697" s="4"/>
      <c r="B697" s="4"/>
    </row>
    <row r="698" spans="1:2" ht="12.75" x14ac:dyDescent="0.2">
      <c r="A698" s="4"/>
      <c r="B698" s="4"/>
    </row>
    <row r="699" spans="1:2" ht="12.75" x14ac:dyDescent="0.2">
      <c r="A699" s="4"/>
      <c r="B699" s="4"/>
    </row>
    <row r="700" spans="1:2" ht="12.75" x14ac:dyDescent="0.2">
      <c r="A700" s="4"/>
      <c r="B700" s="4"/>
    </row>
    <row r="701" spans="1:2" ht="12.75" x14ac:dyDescent="0.2">
      <c r="A701" s="4"/>
      <c r="B701" s="4"/>
    </row>
    <row r="702" spans="1:2" ht="12.75" x14ac:dyDescent="0.2">
      <c r="A702" s="4"/>
      <c r="B702" s="4"/>
    </row>
    <row r="703" spans="1:2" ht="12.75" x14ac:dyDescent="0.2">
      <c r="A703" s="4"/>
      <c r="B703" s="4"/>
    </row>
    <row r="704" spans="1:2" ht="12.75" x14ac:dyDescent="0.2">
      <c r="A704" s="4"/>
      <c r="B704" s="4"/>
    </row>
    <row r="705" spans="1:2" ht="12.75" x14ac:dyDescent="0.2">
      <c r="A705" s="4"/>
      <c r="B705" s="4"/>
    </row>
    <row r="706" spans="1:2" ht="12.75" x14ac:dyDescent="0.2">
      <c r="A706" s="4"/>
      <c r="B706" s="4"/>
    </row>
    <row r="707" spans="1:2" ht="12.75" x14ac:dyDescent="0.2">
      <c r="A707" s="4"/>
      <c r="B707" s="4"/>
    </row>
    <row r="708" spans="1:2" ht="12.75" x14ac:dyDescent="0.2">
      <c r="A708" s="4"/>
      <c r="B708" s="4"/>
    </row>
    <row r="709" spans="1:2" ht="12.75" x14ac:dyDescent="0.2">
      <c r="A709" s="4"/>
      <c r="B709" s="4"/>
    </row>
    <row r="710" spans="1:2" ht="12.75" x14ac:dyDescent="0.2">
      <c r="A710" s="4"/>
      <c r="B710" s="4"/>
    </row>
    <row r="711" spans="1:2" ht="12.75" x14ac:dyDescent="0.2">
      <c r="A711" s="4"/>
      <c r="B711" s="4"/>
    </row>
    <row r="712" spans="1:2" ht="12.75" x14ac:dyDescent="0.2">
      <c r="A712" s="4"/>
      <c r="B712" s="4"/>
    </row>
    <row r="713" spans="1:2" ht="12.75" x14ac:dyDescent="0.2">
      <c r="A713" s="4"/>
      <c r="B713" s="4"/>
    </row>
    <row r="714" spans="1:2" ht="12.75" x14ac:dyDescent="0.2">
      <c r="A714" s="4"/>
      <c r="B714" s="4"/>
    </row>
    <row r="715" spans="1:2" ht="12.75" x14ac:dyDescent="0.2">
      <c r="A715" s="4"/>
      <c r="B715" s="4"/>
    </row>
    <row r="716" spans="1:2" ht="12.75" x14ac:dyDescent="0.2">
      <c r="A716" s="4"/>
      <c r="B716" s="4"/>
    </row>
    <row r="717" spans="1:2" ht="12.75" x14ac:dyDescent="0.2">
      <c r="A717" s="4"/>
      <c r="B717" s="4"/>
    </row>
    <row r="718" spans="1:2" ht="12.75" x14ac:dyDescent="0.2">
      <c r="A718" s="4"/>
      <c r="B718" s="4"/>
    </row>
    <row r="719" spans="1:2" ht="12.75" x14ac:dyDescent="0.2">
      <c r="A719" s="4"/>
      <c r="B719" s="4"/>
    </row>
    <row r="720" spans="1:2" ht="12.75" x14ac:dyDescent="0.2">
      <c r="A720" s="4"/>
      <c r="B720" s="4"/>
    </row>
    <row r="721" spans="1:2" ht="12.75" x14ac:dyDescent="0.2">
      <c r="A721" s="4"/>
      <c r="B721" s="4"/>
    </row>
    <row r="722" spans="1:2" ht="12.75" x14ac:dyDescent="0.2">
      <c r="A722" s="4"/>
      <c r="B722" s="4"/>
    </row>
    <row r="723" spans="1:2" ht="12.75" x14ac:dyDescent="0.2">
      <c r="A723" s="4"/>
      <c r="B723" s="4"/>
    </row>
    <row r="724" spans="1:2" ht="12.75" x14ac:dyDescent="0.2">
      <c r="A724" s="4"/>
      <c r="B724" s="4"/>
    </row>
    <row r="725" spans="1:2" ht="12.75" x14ac:dyDescent="0.2">
      <c r="A725" s="4"/>
      <c r="B725" s="4"/>
    </row>
    <row r="726" spans="1:2" ht="12.75" x14ac:dyDescent="0.2">
      <c r="A726" s="4"/>
      <c r="B726" s="4"/>
    </row>
    <row r="727" spans="1:2" ht="12.75" x14ac:dyDescent="0.2">
      <c r="A727" s="4"/>
      <c r="B727" s="4"/>
    </row>
    <row r="728" spans="1:2" ht="12.75" x14ac:dyDescent="0.2">
      <c r="A728" s="4"/>
      <c r="B728" s="4"/>
    </row>
    <row r="729" spans="1:2" ht="12.75" x14ac:dyDescent="0.2">
      <c r="A729" s="4"/>
      <c r="B729" s="4"/>
    </row>
    <row r="730" spans="1:2" ht="12.75" x14ac:dyDescent="0.2">
      <c r="A730" s="4"/>
      <c r="B730" s="4"/>
    </row>
    <row r="731" spans="1:2" ht="12.75" x14ac:dyDescent="0.2">
      <c r="A731" s="4"/>
      <c r="B731" s="4"/>
    </row>
    <row r="732" spans="1:2" ht="12.75" x14ac:dyDescent="0.2">
      <c r="A732" s="4"/>
      <c r="B732" s="4"/>
    </row>
    <row r="733" spans="1:2" ht="12.75" x14ac:dyDescent="0.2">
      <c r="A733" s="4"/>
      <c r="B733" s="4"/>
    </row>
    <row r="734" spans="1:2" ht="12.75" x14ac:dyDescent="0.2">
      <c r="A734" s="4"/>
      <c r="B734" s="4"/>
    </row>
    <row r="735" spans="1:2" ht="12.75" x14ac:dyDescent="0.2">
      <c r="A735" s="4"/>
      <c r="B735" s="4"/>
    </row>
    <row r="736" spans="1:2" ht="12.75" x14ac:dyDescent="0.2">
      <c r="A736" s="4"/>
      <c r="B736" s="4"/>
    </row>
    <row r="737" spans="1:2" ht="12.75" x14ac:dyDescent="0.2">
      <c r="A737" s="4"/>
      <c r="B737" s="4"/>
    </row>
    <row r="738" spans="1:2" ht="12.75" x14ac:dyDescent="0.2">
      <c r="A738" s="4"/>
      <c r="B738" s="4"/>
    </row>
    <row r="739" spans="1:2" ht="12.75" x14ac:dyDescent="0.2">
      <c r="A739" s="4"/>
      <c r="B739" s="4"/>
    </row>
    <row r="740" spans="1:2" ht="12.75" x14ac:dyDescent="0.2">
      <c r="A740" s="4"/>
      <c r="B740" s="4"/>
    </row>
    <row r="741" spans="1:2" ht="12.75" x14ac:dyDescent="0.2">
      <c r="A741" s="4"/>
      <c r="B741" s="4"/>
    </row>
    <row r="742" spans="1:2" ht="12.75" x14ac:dyDescent="0.2">
      <c r="A742" s="4"/>
      <c r="B742" s="4"/>
    </row>
    <row r="743" spans="1:2" ht="12.75" x14ac:dyDescent="0.2">
      <c r="A743" s="4"/>
      <c r="B743" s="4"/>
    </row>
    <row r="744" spans="1:2" ht="12.75" x14ac:dyDescent="0.2">
      <c r="A744" s="4"/>
      <c r="B744" s="4"/>
    </row>
    <row r="745" spans="1:2" ht="12.75" x14ac:dyDescent="0.2">
      <c r="A745" s="4"/>
      <c r="B745" s="4"/>
    </row>
    <row r="746" spans="1:2" ht="12.75" x14ac:dyDescent="0.2">
      <c r="A746" s="4"/>
      <c r="B746" s="4"/>
    </row>
    <row r="747" spans="1:2" ht="12.75" x14ac:dyDescent="0.2">
      <c r="A747" s="4"/>
      <c r="B747" s="4"/>
    </row>
    <row r="748" spans="1:2" ht="12.75" x14ac:dyDescent="0.2">
      <c r="A748" s="4"/>
      <c r="B748" s="4"/>
    </row>
    <row r="749" spans="1:2" ht="12.75" x14ac:dyDescent="0.2">
      <c r="A749" s="4"/>
      <c r="B749" s="4"/>
    </row>
    <row r="750" spans="1:2" ht="12.75" x14ac:dyDescent="0.2">
      <c r="A750" s="4"/>
      <c r="B750" s="4"/>
    </row>
    <row r="751" spans="1:2" ht="12.75" x14ac:dyDescent="0.2">
      <c r="A751" s="4"/>
      <c r="B751" s="4"/>
    </row>
    <row r="752" spans="1:2" ht="12.75" x14ac:dyDescent="0.2">
      <c r="A752" s="4"/>
      <c r="B752" s="4"/>
    </row>
    <row r="753" spans="1:2" ht="12.75" x14ac:dyDescent="0.2">
      <c r="A753" s="4"/>
      <c r="B753" s="4"/>
    </row>
    <row r="754" spans="1:2" ht="12.75" x14ac:dyDescent="0.2">
      <c r="A754" s="4"/>
      <c r="B754" s="4"/>
    </row>
    <row r="755" spans="1:2" ht="12.75" x14ac:dyDescent="0.2">
      <c r="A755" s="4"/>
      <c r="B755" s="4"/>
    </row>
    <row r="756" spans="1:2" ht="12.75" x14ac:dyDescent="0.2">
      <c r="A756" s="4"/>
      <c r="B756" s="4"/>
    </row>
    <row r="757" spans="1:2" ht="12.75" x14ac:dyDescent="0.2">
      <c r="A757" s="4"/>
      <c r="B757" s="4"/>
    </row>
    <row r="758" spans="1:2" ht="12.75" x14ac:dyDescent="0.2">
      <c r="A758" s="4"/>
      <c r="B758" s="4"/>
    </row>
    <row r="759" spans="1:2" ht="12.75" x14ac:dyDescent="0.2">
      <c r="A759" s="4"/>
      <c r="B759" s="4"/>
    </row>
    <row r="760" spans="1:2" ht="12.75" x14ac:dyDescent="0.2">
      <c r="A760" s="4"/>
      <c r="B760" s="4"/>
    </row>
    <row r="761" spans="1:2" ht="12.75" x14ac:dyDescent="0.2">
      <c r="A761" s="4"/>
      <c r="B761" s="4"/>
    </row>
    <row r="762" spans="1:2" ht="12.75" x14ac:dyDescent="0.2">
      <c r="A762" s="4"/>
      <c r="B762" s="4"/>
    </row>
    <row r="763" spans="1:2" ht="12.75" x14ac:dyDescent="0.2">
      <c r="A763" s="4"/>
      <c r="B763" s="4"/>
    </row>
    <row r="764" spans="1:2" ht="12.75" x14ac:dyDescent="0.2">
      <c r="A764" s="4"/>
      <c r="B764" s="4"/>
    </row>
    <row r="765" spans="1:2" ht="12.75" x14ac:dyDescent="0.2">
      <c r="A765" s="4"/>
      <c r="B765" s="4"/>
    </row>
    <row r="766" spans="1:2" ht="12.75" x14ac:dyDescent="0.2">
      <c r="A766" s="4"/>
      <c r="B766" s="4"/>
    </row>
    <row r="767" spans="1:2" ht="12.75" x14ac:dyDescent="0.2">
      <c r="A767" s="4"/>
      <c r="B767" s="4"/>
    </row>
    <row r="768" spans="1:2" ht="12.75" x14ac:dyDescent="0.2">
      <c r="A768" s="4"/>
      <c r="B768" s="4"/>
    </row>
    <row r="769" spans="1:2" ht="12.75" x14ac:dyDescent="0.2">
      <c r="A769" s="4"/>
      <c r="B769" s="4"/>
    </row>
    <row r="770" spans="1:2" ht="12.75" x14ac:dyDescent="0.2">
      <c r="A770" s="4"/>
      <c r="B770" s="4"/>
    </row>
    <row r="771" spans="1:2" ht="12.75" x14ac:dyDescent="0.2">
      <c r="A771" s="4"/>
      <c r="B771" s="4"/>
    </row>
    <row r="772" spans="1:2" ht="12.75" x14ac:dyDescent="0.2">
      <c r="A772" s="4"/>
      <c r="B772" s="4"/>
    </row>
    <row r="773" spans="1:2" ht="12.75" x14ac:dyDescent="0.2">
      <c r="A773" s="4"/>
      <c r="B773" s="4"/>
    </row>
    <row r="774" spans="1:2" ht="12.75" x14ac:dyDescent="0.2">
      <c r="A774" s="4"/>
      <c r="B774" s="4"/>
    </row>
    <row r="775" spans="1:2" ht="12.75" x14ac:dyDescent="0.2">
      <c r="A775" s="4"/>
      <c r="B775" s="4"/>
    </row>
    <row r="776" spans="1:2" ht="12.75" x14ac:dyDescent="0.2">
      <c r="A776" s="4"/>
      <c r="B776" s="4"/>
    </row>
    <row r="777" spans="1:2" ht="12.75" x14ac:dyDescent="0.2">
      <c r="A777" s="4"/>
      <c r="B777" s="4"/>
    </row>
    <row r="778" spans="1:2" ht="12.75" x14ac:dyDescent="0.2">
      <c r="A778" s="4"/>
      <c r="B778" s="4"/>
    </row>
    <row r="779" spans="1:2" ht="12.75" x14ac:dyDescent="0.2">
      <c r="A779" s="4"/>
      <c r="B779" s="4"/>
    </row>
    <row r="780" spans="1:2" ht="12.75" x14ac:dyDescent="0.2">
      <c r="A780" s="4"/>
      <c r="B780" s="4"/>
    </row>
    <row r="781" spans="1:2" ht="12.75" x14ac:dyDescent="0.2">
      <c r="A781" s="4"/>
      <c r="B781" s="4"/>
    </row>
    <row r="782" spans="1:2" ht="12.75" x14ac:dyDescent="0.2">
      <c r="A782" s="4"/>
      <c r="B782" s="4"/>
    </row>
    <row r="783" spans="1:2" ht="12.75" x14ac:dyDescent="0.2">
      <c r="A783" s="4"/>
      <c r="B783" s="4"/>
    </row>
    <row r="784" spans="1:2" ht="12.75" x14ac:dyDescent="0.2">
      <c r="A784" s="4"/>
      <c r="B784" s="4"/>
    </row>
    <row r="785" spans="1:2" ht="12.75" x14ac:dyDescent="0.2">
      <c r="A785" s="4"/>
      <c r="B785" s="4"/>
    </row>
    <row r="786" spans="1:2" ht="12.75" x14ac:dyDescent="0.2">
      <c r="A786" s="4"/>
      <c r="B786" s="4"/>
    </row>
    <row r="787" spans="1:2" ht="12.75" x14ac:dyDescent="0.2">
      <c r="A787" s="4"/>
      <c r="B787" s="4"/>
    </row>
    <row r="788" spans="1:2" ht="12.75" x14ac:dyDescent="0.2">
      <c r="A788" s="4"/>
      <c r="B788" s="4"/>
    </row>
    <row r="789" spans="1:2" ht="12.75" x14ac:dyDescent="0.2">
      <c r="A789" s="4"/>
      <c r="B789" s="4"/>
    </row>
    <row r="790" spans="1:2" ht="12.75" x14ac:dyDescent="0.2">
      <c r="A790" s="4"/>
      <c r="B790" s="4"/>
    </row>
    <row r="791" spans="1:2" ht="12.75" x14ac:dyDescent="0.2">
      <c r="A791" s="4"/>
      <c r="B791" s="4"/>
    </row>
    <row r="792" spans="1:2" ht="12.75" x14ac:dyDescent="0.2">
      <c r="A792" s="4"/>
      <c r="B792" s="4"/>
    </row>
    <row r="793" spans="1:2" ht="12.75" x14ac:dyDescent="0.2">
      <c r="A793" s="4"/>
      <c r="B793" s="4"/>
    </row>
    <row r="794" spans="1:2" ht="12.75" x14ac:dyDescent="0.2">
      <c r="A794" s="4"/>
      <c r="B794" s="4"/>
    </row>
    <row r="795" spans="1:2" ht="12.75" x14ac:dyDescent="0.2">
      <c r="A795" s="4"/>
      <c r="B795" s="4"/>
    </row>
    <row r="796" spans="1:2" ht="12.75" x14ac:dyDescent="0.2">
      <c r="A796" s="4"/>
      <c r="B796" s="4"/>
    </row>
    <row r="797" spans="1:2" ht="12.75" x14ac:dyDescent="0.2">
      <c r="A797" s="4"/>
      <c r="B797" s="4"/>
    </row>
    <row r="798" spans="1:2" ht="12.75" x14ac:dyDescent="0.2">
      <c r="A798" s="4"/>
      <c r="B798" s="4"/>
    </row>
    <row r="799" spans="1:2" ht="12.75" x14ac:dyDescent="0.2">
      <c r="A799" s="4"/>
      <c r="B799" s="4"/>
    </row>
    <row r="800" spans="1:2" ht="12.75" x14ac:dyDescent="0.2">
      <c r="A800" s="4"/>
      <c r="B800" s="4"/>
    </row>
    <row r="801" spans="1:2" ht="12.75" x14ac:dyDescent="0.2">
      <c r="A801" s="4"/>
      <c r="B801" s="4"/>
    </row>
    <row r="802" spans="1:2" ht="12.75" x14ac:dyDescent="0.2">
      <c r="A802" s="4"/>
      <c r="B802" s="4"/>
    </row>
    <row r="803" spans="1:2" ht="12.75" x14ac:dyDescent="0.2">
      <c r="A803" s="4"/>
      <c r="B803" s="4"/>
    </row>
    <row r="804" spans="1:2" ht="12.75" x14ac:dyDescent="0.2">
      <c r="A804" s="4"/>
      <c r="B804" s="4"/>
    </row>
    <row r="805" spans="1:2" ht="12.75" x14ac:dyDescent="0.2">
      <c r="A805" s="4"/>
      <c r="B805" s="4"/>
    </row>
    <row r="806" spans="1:2" ht="12.75" x14ac:dyDescent="0.2">
      <c r="A806" s="4"/>
      <c r="B806" s="4"/>
    </row>
    <row r="807" spans="1:2" ht="12.75" x14ac:dyDescent="0.2">
      <c r="A807" s="4"/>
      <c r="B807" s="4"/>
    </row>
    <row r="808" spans="1:2" ht="12.75" x14ac:dyDescent="0.2">
      <c r="A808" s="4"/>
      <c r="B808" s="4"/>
    </row>
    <row r="809" spans="1:2" ht="12.75" x14ac:dyDescent="0.2">
      <c r="A809" s="4"/>
      <c r="B809" s="4"/>
    </row>
    <row r="810" spans="1:2" ht="12.75" x14ac:dyDescent="0.2">
      <c r="A810" s="4"/>
      <c r="B810" s="4"/>
    </row>
    <row r="811" spans="1:2" ht="12.75" x14ac:dyDescent="0.2">
      <c r="A811" s="4"/>
      <c r="B811" s="4"/>
    </row>
    <row r="812" spans="1:2" ht="12.75" x14ac:dyDescent="0.2">
      <c r="A812" s="4"/>
      <c r="B812" s="4"/>
    </row>
    <row r="813" spans="1:2" ht="12.75" x14ac:dyDescent="0.2">
      <c r="A813" s="4"/>
      <c r="B813" s="4"/>
    </row>
    <row r="814" spans="1:2" ht="12.75" x14ac:dyDescent="0.2">
      <c r="A814" s="4"/>
      <c r="B814" s="4"/>
    </row>
    <row r="815" spans="1:2" ht="12.75" x14ac:dyDescent="0.2">
      <c r="A815" s="4"/>
      <c r="B815" s="4"/>
    </row>
    <row r="816" spans="1:2" ht="12.75" x14ac:dyDescent="0.2">
      <c r="A816" s="4"/>
      <c r="B816" s="4"/>
    </row>
    <row r="817" spans="1:2" ht="12.75" x14ac:dyDescent="0.2">
      <c r="A817" s="4"/>
      <c r="B817" s="4"/>
    </row>
    <row r="818" spans="1:2" ht="12.75" x14ac:dyDescent="0.2">
      <c r="A818" s="4"/>
      <c r="B818" s="4"/>
    </row>
    <row r="819" spans="1:2" ht="12.75" x14ac:dyDescent="0.2">
      <c r="A819" s="4"/>
      <c r="B819" s="4"/>
    </row>
    <row r="820" spans="1:2" ht="12.75" x14ac:dyDescent="0.2">
      <c r="A820" s="4"/>
      <c r="B820" s="4"/>
    </row>
    <row r="821" spans="1:2" ht="12.75" x14ac:dyDescent="0.2">
      <c r="A821" s="4"/>
      <c r="B821" s="4"/>
    </row>
    <row r="822" spans="1:2" ht="12.75" x14ac:dyDescent="0.2">
      <c r="A822" s="4"/>
      <c r="B822" s="4"/>
    </row>
    <row r="823" spans="1:2" ht="12.75" x14ac:dyDescent="0.2">
      <c r="A823" s="4"/>
      <c r="B823" s="4"/>
    </row>
    <row r="824" spans="1:2" ht="12.75" x14ac:dyDescent="0.2">
      <c r="A824" s="4"/>
      <c r="B824" s="4"/>
    </row>
    <row r="825" spans="1:2" ht="12.75" x14ac:dyDescent="0.2">
      <c r="A825" s="4"/>
      <c r="B825" s="4"/>
    </row>
    <row r="826" spans="1:2" ht="12.75" x14ac:dyDescent="0.2">
      <c r="A826" s="4"/>
      <c r="B826" s="4"/>
    </row>
    <row r="827" spans="1:2" ht="12.75" x14ac:dyDescent="0.2">
      <c r="A827" s="4"/>
      <c r="B827" s="4"/>
    </row>
    <row r="828" spans="1:2" ht="12.75" x14ac:dyDescent="0.2">
      <c r="A828" s="4"/>
      <c r="B828" s="4"/>
    </row>
    <row r="829" spans="1:2" ht="12.75" x14ac:dyDescent="0.2">
      <c r="A829" s="4"/>
      <c r="B829" s="4"/>
    </row>
    <row r="830" spans="1:2" ht="12.75" x14ac:dyDescent="0.2">
      <c r="A830" s="4"/>
      <c r="B830" s="4"/>
    </row>
    <row r="831" spans="1:2" ht="12.75" x14ac:dyDescent="0.2">
      <c r="A831" s="4"/>
      <c r="B831" s="4"/>
    </row>
    <row r="832" spans="1:2" ht="12.75" x14ac:dyDescent="0.2">
      <c r="A832" s="4"/>
      <c r="B832" s="4"/>
    </row>
    <row r="833" spans="1:2" ht="12.75" x14ac:dyDescent="0.2">
      <c r="A833" s="4"/>
      <c r="B833" s="4"/>
    </row>
    <row r="834" spans="1:2" ht="12.75" x14ac:dyDescent="0.2">
      <c r="A834" s="4"/>
      <c r="B834" s="4"/>
    </row>
    <row r="835" spans="1:2" ht="12.75" x14ac:dyDescent="0.2">
      <c r="A835" s="4"/>
      <c r="B835" s="4"/>
    </row>
    <row r="836" spans="1:2" ht="12.75" x14ac:dyDescent="0.2">
      <c r="A836" s="4"/>
      <c r="B836" s="4"/>
    </row>
    <row r="837" spans="1:2" ht="12.75" x14ac:dyDescent="0.2">
      <c r="A837" s="4"/>
      <c r="B837" s="4"/>
    </row>
    <row r="838" spans="1:2" ht="12.75" x14ac:dyDescent="0.2">
      <c r="A838" s="4"/>
      <c r="B838" s="4"/>
    </row>
    <row r="839" spans="1:2" ht="12.75" x14ac:dyDescent="0.2">
      <c r="A839" s="4"/>
      <c r="B839" s="4"/>
    </row>
    <row r="840" spans="1:2" ht="12.75" x14ac:dyDescent="0.2">
      <c r="A840" s="4"/>
      <c r="B840" s="4"/>
    </row>
    <row r="841" spans="1:2" ht="12.75" x14ac:dyDescent="0.2">
      <c r="A841" s="4"/>
      <c r="B841" s="4"/>
    </row>
    <row r="842" spans="1:2" ht="12.75" x14ac:dyDescent="0.2">
      <c r="A842" s="4"/>
      <c r="B842" s="4"/>
    </row>
    <row r="843" spans="1:2" ht="12.75" x14ac:dyDescent="0.2">
      <c r="A843" s="4"/>
      <c r="B843" s="4"/>
    </row>
    <row r="844" spans="1:2" ht="12.75" x14ac:dyDescent="0.2">
      <c r="A844" s="4"/>
      <c r="B844" s="4"/>
    </row>
    <row r="845" spans="1:2" ht="12.75" x14ac:dyDescent="0.2">
      <c r="A845" s="4"/>
      <c r="B845" s="4"/>
    </row>
    <row r="846" spans="1:2" ht="12.75" x14ac:dyDescent="0.2">
      <c r="A846" s="4"/>
      <c r="B846" s="4"/>
    </row>
    <row r="847" spans="1:2" ht="12.75" x14ac:dyDescent="0.2">
      <c r="A847" s="4"/>
      <c r="B847" s="4"/>
    </row>
    <row r="848" spans="1:2" ht="12.75" x14ac:dyDescent="0.2">
      <c r="A848" s="4"/>
      <c r="B848" s="4"/>
    </row>
    <row r="849" spans="1:2" ht="12.75" x14ac:dyDescent="0.2">
      <c r="A849" s="4"/>
      <c r="B849" s="4"/>
    </row>
    <row r="850" spans="1:2" ht="12.75" x14ac:dyDescent="0.2">
      <c r="A850" s="4"/>
      <c r="B850" s="4"/>
    </row>
    <row r="851" spans="1:2" ht="12.75" x14ac:dyDescent="0.2">
      <c r="A851" s="4"/>
      <c r="B851" s="4"/>
    </row>
    <row r="852" spans="1:2" ht="12.75" x14ac:dyDescent="0.2">
      <c r="A852" s="4"/>
      <c r="B852" s="4"/>
    </row>
    <row r="853" spans="1:2" ht="12.75" x14ac:dyDescent="0.2">
      <c r="A853" s="4"/>
      <c r="B853" s="4"/>
    </row>
    <row r="854" spans="1:2" ht="12.75" x14ac:dyDescent="0.2">
      <c r="A854" s="4"/>
      <c r="B854" s="4"/>
    </row>
    <row r="855" spans="1:2" ht="12.75" x14ac:dyDescent="0.2">
      <c r="A855" s="4"/>
      <c r="B855" s="4"/>
    </row>
    <row r="856" spans="1:2" ht="12.75" x14ac:dyDescent="0.2">
      <c r="A856" s="4"/>
      <c r="B856" s="4"/>
    </row>
    <row r="857" spans="1:2" ht="12.75" x14ac:dyDescent="0.2">
      <c r="A857" s="4"/>
      <c r="B857" s="4"/>
    </row>
    <row r="858" spans="1:2" ht="12.75" x14ac:dyDescent="0.2">
      <c r="A858" s="4"/>
      <c r="B858" s="4"/>
    </row>
    <row r="859" spans="1:2" ht="12.75" x14ac:dyDescent="0.2">
      <c r="A859" s="4"/>
      <c r="B859" s="4"/>
    </row>
    <row r="860" spans="1:2" ht="12.75" x14ac:dyDescent="0.2">
      <c r="A860" s="4"/>
      <c r="B860" s="4"/>
    </row>
    <row r="861" spans="1:2" ht="12.75" x14ac:dyDescent="0.2">
      <c r="A861" s="4"/>
      <c r="B861" s="4"/>
    </row>
    <row r="862" spans="1:2" ht="12.75" x14ac:dyDescent="0.2">
      <c r="A862" s="4"/>
      <c r="B862" s="4"/>
    </row>
    <row r="863" spans="1:2" ht="12.75" x14ac:dyDescent="0.2">
      <c r="A863" s="4"/>
      <c r="B863" s="4"/>
    </row>
    <row r="864" spans="1:2" ht="12.75" x14ac:dyDescent="0.2">
      <c r="A864" s="4"/>
      <c r="B864" s="4"/>
    </row>
    <row r="865" spans="1:2" ht="12.75" x14ac:dyDescent="0.2">
      <c r="A865" s="4"/>
      <c r="B865" s="4"/>
    </row>
    <row r="866" spans="1:2" ht="12.75" x14ac:dyDescent="0.2">
      <c r="A866" s="4"/>
      <c r="B866" s="4"/>
    </row>
    <row r="867" spans="1:2" ht="12.75" x14ac:dyDescent="0.2">
      <c r="A867" s="4"/>
      <c r="B867" s="4"/>
    </row>
    <row r="868" spans="1:2" ht="12.75" x14ac:dyDescent="0.2">
      <c r="A868" s="4"/>
      <c r="B868" s="4"/>
    </row>
    <row r="869" spans="1:2" ht="12.75" x14ac:dyDescent="0.2">
      <c r="A869" s="4"/>
      <c r="B869" s="4"/>
    </row>
    <row r="870" spans="1:2" ht="12.75" x14ac:dyDescent="0.2">
      <c r="A870" s="4"/>
      <c r="B870" s="4"/>
    </row>
    <row r="871" spans="1:2" ht="12.75" x14ac:dyDescent="0.2">
      <c r="A871" s="4"/>
      <c r="B871" s="4"/>
    </row>
    <row r="872" spans="1:2" ht="12.75" x14ac:dyDescent="0.2">
      <c r="A872" s="4"/>
      <c r="B872" s="4"/>
    </row>
    <row r="873" spans="1:2" ht="12.75" x14ac:dyDescent="0.2">
      <c r="A873" s="4"/>
      <c r="B873" s="4"/>
    </row>
    <row r="874" spans="1:2" ht="12.75" x14ac:dyDescent="0.2">
      <c r="A874" s="4"/>
      <c r="B874" s="4"/>
    </row>
    <row r="875" spans="1:2" ht="12.75" x14ac:dyDescent="0.2">
      <c r="A875" s="4"/>
      <c r="B875" s="4"/>
    </row>
    <row r="876" spans="1:2" ht="12.75" x14ac:dyDescent="0.2">
      <c r="A876" s="4"/>
      <c r="B876" s="4"/>
    </row>
    <row r="877" spans="1:2" ht="12.75" x14ac:dyDescent="0.2">
      <c r="A877" s="4"/>
      <c r="B877" s="4"/>
    </row>
    <row r="878" spans="1:2" ht="12.75" x14ac:dyDescent="0.2">
      <c r="A878" s="4"/>
      <c r="B878" s="4"/>
    </row>
    <row r="879" spans="1:2" ht="12.75" x14ac:dyDescent="0.2">
      <c r="A879" s="4"/>
      <c r="B879" s="4"/>
    </row>
    <row r="880" spans="1:2" ht="12.75" x14ac:dyDescent="0.2">
      <c r="A880" s="4"/>
      <c r="B880" s="4"/>
    </row>
    <row r="881" spans="1:2" ht="12.75" x14ac:dyDescent="0.2">
      <c r="A881" s="4"/>
      <c r="B881" s="4"/>
    </row>
    <row r="882" spans="1:2" ht="12.75" x14ac:dyDescent="0.2">
      <c r="A882" s="4"/>
      <c r="B882" s="4"/>
    </row>
    <row r="883" spans="1:2" ht="12.75" x14ac:dyDescent="0.2">
      <c r="A883" s="4"/>
      <c r="B883" s="4"/>
    </row>
    <row r="884" spans="1:2" ht="12.75" x14ac:dyDescent="0.2">
      <c r="A884" s="4"/>
      <c r="B884" s="4"/>
    </row>
    <row r="885" spans="1:2" ht="12.75" x14ac:dyDescent="0.2">
      <c r="A885" s="4"/>
      <c r="B885" s="4"/>
    </row>
    <row r="886" spans="1:2" ht="12.75" x14ac:dyDescent="0.2">
      <c r="A886" s="4"/>
      <c r="B886" s="4"/>
    </row>
    <row r="887" spans="1:2" ht="12.75" x14ac:dyDescent="0.2">
      <c r="A887" s="4"/>
      <c r="B887" s="4"/>
    </row>
    <row r="888" spans="1:2" ht="12.75" x14ac:dyDescent="0.2">
      <c r="A888" s="4"/>
      <c r="B888" s="4"/>
    </row>
    <row r="889" spans="1:2" ht="12.75" x14ac:dyDescent="0.2">
      <c r="A889" s="4"/>
      <c r="B889" s="4"/>
    </row>
    <row r="890" spans="1:2" ht="12.75" x14ac:dyDescent="0.2">
      <c r="A890" s="4"/>
      <c r="B890" s="4"/>
    </row>
    <row r="891" spans="1:2" ht="12.75" x14ac:dyDescent="0.2">
      <c r="A891" s="4"/>
      <c r="B891" s="4"/>
    </row>
    <row r="892" spans="1:2" ht="12.75" x14ac:dyDescent="0.2">
      <c r="A892" s="4"/>
      <c r="B892" s="4"/>
    </row>
    <row r="893" spans="1:2" ht="12.75" x14ac:dyDescent="0.2">
      <c r="A893" s="4"/>
      <c r="B893" s="4"/>
    </row>
    <row r="894" spans="1:2" ht="12.75" x14ac:dyDescent="0.2">
      <c r="A894" s="4"/>
      <c r="B894" s="4"/>
    </row>
    <row r="895" spans="1:2" ht="12.75" x14ac:dyDescent="0.2">
      <c r="A895" s="4"/>
      <c r="B895" s="4"/>
    </row>
    <row r="896" spans="1:2" ht="12.75" x14ac:dyDescent="0.2">
      <c r="A896" s="4"/>
      <c r="B896" s="4"/>
    </row>
    <row r="897" spans="1:2" ht="12.75" x14ac:dyDescent="0.2">
      <c r="A897" s="4"/>
      <c r="B897" s="4"/>
    </row>
    <row r="898" spans="1:2" ht="12.75" x14ac:dyDescent="0.2">
      <c r="A898" s="4"/>
      <c r="B898" s="4"/>
    </row>
    <row r="899" spans="1:2" ht="12.75" x14ac:dyDescent="0.2">
      <c r="A899" s="4"/>
      <c r="B899" s="4"/>
    </row>
    <row r="900" spans="1:2" ht="12.75" x14ac:dyDescent="0.2">
      <c r="A900" s="4"/>
      <c r="B900" s="4"/>
    </row>
    <row r="901" spans="1:2" ht="12.75" x14ac:dyDescent="0.2">
      <c r="A901" s="4"/>
      <c r="B901" s="4"/>
    </row>
    <row r="902" spans="1:2" ht="12.75" x14ac:dyDescent="0.2">
      <c r="A902" s="4"/>
      <c r="B902" s="4"/>
    </row>
    <row r="903" spans="1:2" ht="12.75" x14ac:dyDescent="0.2">
      <c r="A903" s="4"/>
      <c r="B903" s="4"/>
    </row>
    <row r="904" spans="1:2" ht="12.75" x14ac:dyDescent="0.2">
      <c r="A904" s="4"/>
      <c r="B904" s="4"/>
    </row>
    <row r="905" spans="1:2" ht="12.75" x14ac:dyDescent="0.2">
      <c r="A905" s="4"/>
      <c r="B905" s="4"/>
    </row>
    <row r="906" spans="1:2" ht="12.75" x14ac:dyDescent="0.2">
      <c r="A906" s="4"/>
      <c r="B906" s="4"/>
    </row>
    <row r="907" spans="1:2" ht="12.75" x14ac:dyDescent="0.2">
      <c r="A907" s="4"/>
      <c r="B907" s="4"/>
    </row>
    <row r="908" spans="1:2" ht="12.75" x14ac:dyDescent="0.2">
      <c r="A908" s="4"/>
      <c r="B908" s="4"/>
    </row>
    <row r="909" spans="1:2" ht="12.75" x14ac:dyDescent="0.2">
      <c r="A909" s="4"/>
      <c r="B909" s="4"/>
    </row>
    <row r="910" spans="1:2" ht="12.75" x14ac:dyDescent="0.2">
      <c r="A910" s="4"/>
      <c r="B910" s="4"/>
    </row>
    <row r="911" spans="1:2" ht="12.75" x14ac:dyDescent="0.2">
      <c r="A911" s="4"/>
      <c r="B911" s="4"/>
    </row>
    <row r="912" spans="1:2" ht="12.75" x14ac:dyDescent="0.2">
      <c r="A912" s="4"/>
      <c r="B912" s="4"/>
    </row>
    <row r="913" spans="1:2" ht="12.75" x14ac:dyDescent="0.2">
      <c r="A913" s="4"/>
      <c r="B913" s="4"/>
    </row>
    <row r="914" spans="1:2" ht="12.75" x14ac:dyDescent="0.2">
      <c r="A914" s="4"/>
      <c r="B914" s="4"/>
    </row>
    <row r="915" spans="1:2" ht="12.75" x14ac:dyDescent="0.2">
      <c r="A915" s="4"/>
      <c r="B915" s="4"/>
    </row>
    <row r="916" spans="1:2" ht="12.75" x14ac:dyDescent="0.2">
      <c r="A916" s="4"/>
      <c r="B916" s="4"/>
    </row>
    <row r="917" spans="1:2" ht="12.75" x14ac:dyDescent="0.2">
      <c r="A917" s="4"/>
      <c r="B917" s="4"/>
    </row>
    <row r="918" spans="1:2" ht="12.75" x14ac:dyDescent="0.2">
      <c r="A918" s="4"/>
      <c r="B918" s="4"/>
    </row>
    <row r="919" spans="1:2" ht="12.75" x14ac:dyDescent="0.2">
      <c r="A919" s="4"/>
      <c r="B919" s="4"/>
    </row>
    <row r="920" spans="1:2" ht="12.75" x14ac:dyDescent="0.2">
      <c r="A920" s="4"/>
      <c r="B920" s="4"/>
    </row>
    <row r="921" spans="1:2" ht="12.75" x14ac:dyDescent="0.2">
      <c r="A921" s="4"/>
      <c r="B921" s="4"/>
    </row>
    <row r="922" spans="1:2" ht="12.75" x14ac:dyDescent="0.2">
      <c r="A922" s="4"/>
      <c r="B922" s="4"/>
    </row>
    <row r="923" spans="1:2" ht="12.75" x14ac:dyDescent="0.2">
      <c r="A923" s="4"/>
      <c r="B923" s="4"/>
    </row>
    <row r="924" spans="1:2" ht="12.75" x14ac:dyDescent="0.2">
      <c r="A924" s="4"/>
      <c r="B924" s="4"/>
    </row>
    <row r="925" spans="1:2" ht="12.75" x14ac:dyDescent="0.2">
      <c r="A925" s="4"/>
      <c r="B925" s="4"/>
    </row>
    <row r="926" spans="1:2" ht="12.75" x14ac:dyDescent="0.2">
      <c r="A926" s="4"/>
      <c r="B926" s="4"/>
    </row>
    <row r="927" spans="1:2" ht="12.75" x14ac:dyDescent="0.2">
      <c r="A927" s="4"/>
      <c r="B927" s="4"/>
    </row>
    <row r="928" spans="1:2" ht="12.75" x14ac:dyDescent="0.2">
      <c r="A928" s="4"/>
      <c r="B928" s="4"/>
    </row>
    <row r="929" spans="1:2" ht="12.75" x14ac:dyDescent="0.2">
      <c r="A929" s="4"/>
      <c r="B929" s="4"/>
    </row>
    <row r="930" spans="1:2" ht="12.75" x14ac:dyDescent="0.2">
      <c r="A930" s="4"/>
      <c r="B930" s="4"/>
    </row>
    <row r="931" spans="1:2" ht="12.75" x14ac:dyDescent="0.2">
      <c r="A931" s="4"/>
      <c r="B931" s="4"/>
    </row>
    <row r="932" spans="1:2" ht="12.75" x14ac:dyDescent="0.2">
      <c r="A932" s="4"/>
      <c r="B932" s="4"/>
    </row>
    <row r="933" spans="1:2" ht="12.75" x14ac:dyDescent="0.2">
      <c r="A933" s="4"/>
      <c r="B933" s="4"/>
    </row>
    <row r="934" spans="1:2" ht="12.75" x14ac:dyDescent="0.2">
      <c r="A934" s="4"/>
      <c r="B934" s="4"/>
    </row>
    <row r="935" spans="1:2" ht="12.75" x14ac:dyDescent="0.2">
      <c r="A935" s="4"/>
      <c r="B935" s="4"/>
    </row>
    <row r="936" spans="1:2" ht="12.75" x14ac:dyDescent="0.2">
      <c r="A936" s="4"/>
      <c r="B936" s="4"/>
    </row>
    <row r="937" spans="1:2" ht="12.75" x14ac:dyDescent="0.2">
      <c r="A937" s="4"/>
      <c r="B937" s="4"/>
    </row>
    <row r="938" spans="1:2" ht="12.75" x14ac:dyDescent="0.2">
      <c r="A938" s="4"/>
      <c r="B938" s="4"/>
    </row>
    <row r="939" spans="1:2" ht="12.75" x14ac:dyDescent="0.2">
      <c r="A939" s="4"/>
      <c r="B939" s="4"/>
    </row>
    <row r="940" spans="1:2" ht="12.75" x14ac:dyDescent="0.2">
      <c r="A940" s="4"/>
      <c r="B940" s="4"/>
    </row>
    <row r="941" spans="1:2" ht="12.75" x14ac:dyDescent="0.2">
      <c r="A941" s="4"/>
      <c r="B941" s="4"/>
    </row>
    <row r="942" spans="1:2" ht="12.75" x14ac:dyDescent="0.2">
      <c r="A942" s="4"/>
      <c r="B942" s="4"/>
    </row>
    <row r="943" spans="1:2" ht="12.75" x14ac:dyDescent="0.2">
      <c r="A943" s="4"/>
      <c r="B943" s="4"/>
    </row>
    <row r="944" spans="1:2" ht="12.75" x14ac:dyDescent="0.2">
      <c r="A944" s="4"/>
      <c r="B944" s="4"/>
    </row>
    <row r="945" spans="1:2" ht="12.75" x14ac:dyDescent="0.2">
      <c r="A945" s="4"/>
      <c r="B945" s="4"/>
    </row>
    <row r="946" spans="1:2" ht="12.75" x14ac:dyDescent="0.2">
      <c r="A946" s="4"/>
      <c r="B946" s="4"/>
    </row>
    <row r="947" spans="1:2" ht="12.75" x14ac:dyDescent="0.2">
      <c r="A947" s="4"/>
      <c r="B947" s="4"/>
    </row>
    <row r="948" spans="1:2" ht="12.75" x14ac:dyDescent="0.2">
      <c r="A948" s="4"/>
      <c r="B948" s="4"/>
    </row>
    <row r="949" spans="1:2" ht="12.75" x14ac:dyDescent="0.2">
      <c r="A949" s="4"/>
      <c r="B949" s="4"/>
    </row>
    <row r="950" spans="1:2" ht="12.75" x14ac:dyDescent="0.2">
      <c r="A950" s="4"/>
      <c r="B950" s="4"/>
    </row>
    <row r="951" spans="1:2" ht="12.75" x14ac:dyDescent="0.2">
      <c r="A951" s="4"/>
      <c r="B951" s="4"/>
    </row>
    <row r="952" spans="1:2" ht="12.75" x14ac:dyDescent="0.2">
      <c r="A952" s="4"/>
      <c r="B952" s="4"/>
    </row>
    <row r="953" spans="1:2" ht="12.75" x14ac:dyDescent="0.2">
      <c r="A953" s="4"/>
      <c r="B953" s="4"/>
    </row>
    <row r="954" spans="1:2" ht="12.75" x14ac:dyDescent="0.2">
      <c r="A954" s="4"/>
      <c r="B954" s="4"/>
    </row>
    <row r="955" spans="1:2" ht="12.75" x14ac:dyDescent="0.2">
      <c r="A955" s="4"/>
      <c r="B955" s="4"/>
    </row>
    <row r="956" spans="1:2" ht="12.75" x14ac:dyDescent="0.2">
      <c r="A956" s="4"/>
      <c r="B956" s="4"/>
    </row>
    <row r="957" spans="1:2" ht="12.75" x14ac:dyDescent="0.2">
      <c r="A957" s="4"/>
      <c r="B957" s="4"/>
    </row>
    <row r="958" spans="1:2" ht="12.75" x14ac:dyDescent="0.2">
      <c r="A958" s="4"/>
      <c r="B958" s="4"/>
    </row>
    <row r="959" spans="1:2" ht="12.75" x14ac:dyDescent="0.2">
      <c r="A959" s="4"/>
      <c r="B959" s="4"/>
    </row>
    <row r="960" spans="1:2" ht="12.75" x14ac:dyDescent="0.2">
      <c r="A960" s="4"/>
      <c r="B960" s="4"/>
    </row>
    <row r="961" spans="1:2" ht="12.75" x14ac:dyDescent="0.2">
      <c r="A961" s="4"/>
      <c r="B961" s="4"/>
    </row>
    <row r="962" spans="1:2" ht="12.75" x14ac:dyDescent="0.2">
      <c r="A962" s="4"/>
      <c r="B962" s="4"/>
    </row>
    <row r="963" spans="1:2" ht="12.75" x14ac:dyDescent="0.2">
      <c r="A963" s="4"/>
      <c r="B963" s="4"/>
    </row>
    <row r="964" spans="1:2" ht="12.75" x14ac:dyDescent="0.2">
      <c r="A964" s="4"/>
      <c r="B964" s="4"/>
    </row>
    <row r="965" spans="1:2" ht="12.75" x14ac:dyDescent="0.2">
      <c r="A965" s="4"/>
      <c r="B965" s="4"/>
    </row>
    <row r="966" spans="1:2" ht="12.75" x14ac:dyDescent="0.2">
      <c r="A966" s="4"/>
      <c r="B966" s="4"/>
    </row>
    <row r="967" spans="1:2" ht="12.75" x14ac:dyDescent="0.2">
      <c r="A967" s="4"/>
      <c r="B967" s="4"/>
    </row>
    <row r="968" spans="1:2" ht="12.75" x14ac:dyDescent="0.2">
      <c r="A968" s="4"/>
      <c r="B968" s="4"/>
    </row>
    <row r="969" spans="1:2" ht="12.75" x14ac:dyDescent="0.2">
      <c r="A969" s="4"/>
      <c r="B969" s="4"/>
    </row>
    <row r="970" spans="1:2" ht="12.75" x14ac:dyDescent="0.2">
      <c r="A970" s="4"/>
      <c r="B970" s="4"/>
    </row>
    <row r="971" spans="1:2" ht="12.75" x14ac:dyDescent="0.2">
      <c r="A971" s="4"/>
      <c r="B971" s="4"/>
    </row>
    <row r="972" spans="1:2" ht="12.75" x14ac:dyDescent="0.2">
      <c r="A972" s="4"/>
      <c r="B972" s="4"/>
    </row>
    <row r="973" spans="1:2" ht="12.75" x14ac:dyDescent="0.2">
      <c r="A973" s="4"/>
      <c r="B973" s="4"/>
    </row>
    <row r="974" spans="1:2" ht="12.75" x14ac:dyDescent="0.2">
      <c r="A974" s="4"/>
      <c r="B974" s="4"/>
    </row>
    <row r="975" spans="1:2" ht="12.75" x14ac:dyDescent="0.2">
      <c r="A975" s="4"/>
      <c r="B975" s="4"/>
    </row>
    <row r="976" spans="1:2" ht="12.75" x14ac:dyDescent="0.2">
      <c r="A976" s="4"/>
      <c r="B976" s="4"/>
    </row>
    <row r="977" spans="1:2" ht="12.75" x14ac:dyDescent="0.2">
      <c r="A977" s="4"/>
      <c r="B977" s="4"/>
    </row>
    <row r="978" spans="1:2" ht="12.75" x14ac:dyDescent="0.2">
      <c r="A978" s="4"/>
      <c r="B978" s="4"/>
    </row>
    <row r="979" spans="1:2" ht="12.75" x14ac:dyDescent="0.2">
      <c r="A979" s="4"/>
      <c r="B979" s="4"/>
    </row>
    <row r="980" spans="1:2" ht="12.75" x14ac:dyDescent="0.2">
      <c r="A980" s="4"/>
      <c r="B980" s="4"/>
    </row>
    <row r="981" spans="1:2" ht="12.75" x14ac:dyDescent="0.2">
      <c r="A981" s="4"/>
      <c r="B981" s="4"/>
    </row>
    <row r="982" spans="1:2" ht="12.75" x14ac:dyDescent="0.2">
      <c r="A982" s="4"/>
      <c r="B982" s="4"/>
    </row>
    <row r="983" spans="1:2" ht="12.75" x14ac:dyDescent="0.2">
      <c r="A983" s="4"/>
      <c r="B983" s="4"/>
    </row>
    <row r="984" spans="1:2" ht="12.75" x14ac:dyDescent="0.2">
      <c r="A984" s="4"/>
      <c r="B984" s="4"/>
    </row>
    <row r="985" spans="1:2" ht="12.75" x14ac:dyDescent="0.2">
      <c r="A985" s="4"/>
      <c r="B985" s="4"/>
    </row>
    <row r="986" spans="1:2" ht="12.75" x14ac:dyDescent="0.2">
      <c r="A986" s="4"/>
      <c r="B986" s="4"/>
    </row>
    <row r="987" spans="1:2" ht="12.75" x14ac:dyDescent="0.2">
      <c r="A987" s="4"/>
      <c r="B987" s="4"/>
    </row>
    <row r="988" spans="1:2" ht="12.75" x14ac:dyDescent="0.2">
      <c r="A988" s="4"/>
      <c r="B988" s="4"/>
    </row>
    <row r="989" spans="1:2" ht="12.75" x14ac:dyDescent="0.2">
      <c r="A989" s="4"/>
      <c r="B989" s="4"/>
    </row>
    <row r="990" spans="1:2" ht="12.75" x14ac:dyDescent="0.2">
      <c r="A990" s="4"/>
      <c r="B990" s="4"/>
    </row>
    <row r="991" spans="1:2" ht="12.75" x14ac:dyDescent="0.2">
      <c r="A991" s="4"/>
      <c r="B991" s="4"/>
    </row>
    <row r="992" spans="1:2" ht="12.75" x14ac:dyDescent="0.2">
      <c r="A992" s="4"/>
      <c r="B992" s="4"/>
    </row>
    <row r="993" spans="1:2" ht="12.75" x14ac:dyDescent="0.2">
      <c r="A993" s="4"/>
      <c r="B993" s="4"/>
    </row>
    <row r="994" spans="1:2" ht="12.75" x14ac:dyDescent="0.2">
      <c r="A994" s="4"/>
      <c r="B994" s="4"/>
    </row>
    <row r="995" spans="1:2" ht="12.75" x14ac:dyDescent="0.2">
      <c r="A995" s="4"/>
      <c r="B995" s="4"/>
    </row>
    <row r="996" spans="1:2" ht="12.75" x14ac:dyDescent="0.2">
      <c r="A996" s="4"/>
      <c r="B996" s="4"/>
    </row>
    <row r="997" spans="1:2" ht="12.75" x14ac:dyDescent="0.2">
      <c r="A997" s="4"/>
      <c r="B997" s="4"/>
    </row>
    <row r="998" spans="1:2" ht="12.75" x14ac:dyDescent="0.2">
      <c r="A998" s="4"/>
      <c r="B998" s="4"/>
    </row>
    <row r="999" spans="1:2" ht="12.75" x14ac:dyDescent="0.2">
      <c r="A999" s="4"/>
      <c r="B999" s="4"/>
    </row>
    <row r="1000" spans="1:2" ht="12.75" x14ac:dyDescent="0.2">
      <c r="A1000" s="4"/>
      <c r="B1000" s="4"/>
    </row>
    <row r="1001" spans="1:2" ht="12.75" x14ac:dyDescent="0.2">
      <c r="A1001" s="4"/>
      <c r="B1001" s="4"/>
    </row>
    <row r="1002" spans="1:2" ht="12.75" x14ac:dyDescent="0.2">
      <c r="A1002" s="4"/>
      <c r="B1002" s="4"/>
    </row>
    <row r="1003" spans="1:2" ht="12.75" x14ac:dyDescent="0.2">
      <c r="A1003" s="4"/>
      <c r="B1003" s="4"/>
    </row>
    <row r="1004" spans="1:2" ht="12.75" x14ac:dyDescent="0.2">
      <c r="A1004" s="4"/>
      <c r="B1004" s="4"/>
    </row>
  </sheetData>
  <conditionalFormatting sqref="I57:J57 J54 I56">
    <cfRule type="cellIs" dxfId="25" priority="4" operator="equal">
      <formula>1</formula>
    </cfRule>
  </conditionalFormatting>
  <conditionalFormatting sqref="I54">
    <cfRule type="cellIs" dxfId="24" priority="3" operator="equal">
      <formula>1</formula>
    </cfRule>
  </conditionalFormatting>
  <conditionalFormatting sqref="G57">
    <cfRule type="cellIs" dxfId="23" priority="2" operator="equal">
      <formula>1</formula>
    </cfRule>
  </conditionalFormatting>
  <conditionalFormatting sqref="H57">
    <cfRule type="cellIs" dxfId="22" priority="1" operator="equal">
      <formula>1</formula>
    </cfRule>
  </conditionalFormatting>
  <pageMargins left="0.7" right="0.7" top="0.75" bottom="0.75" header="0.3" footer="0.3"/>
  <pageSetup paperSize="9" orientation="portrait" horizontalDpi="300" verticalDpi="3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C60B-958A-4280-93B6-20319A07003C}">
  <dimension ref="A3:M60"/>
  <sheetViews>
    <sheetView topLeftCell="A8" workbookViewId="0">
      <selection activeCell="O25" sqref="O25"/>
    </sheetView>
  </sheetViews>
  <sheetFormatPr defaultRowHeight="12.75" x14ac:dyDescent="0.2"/>
  <cols>
    <col min="6" max="6" width="10.5703125" bestFit="1" customWidth="1"/>
  </cols>
  <sheetData>
    <row r="3" spans="1:13" ht="29.25" x14ac:dyDescent="0.4">
      <c r="A3" s="74" t="s">
        <v>145</v>
      </c>
      <c r="B3" s="73"/>
      <c r="C3" s="73"/>
      <c r="D3" s="73"/>
      <c r="E3" s="73"/>
      <c r="F3" s="73"/>
      <c r="G3" s="73"/>
      <c r="H3" s="73"/>
      <c r="I3" s="73"/>
      <c r="J3" s="73"/>
    </row>
    <row r="5" spans="1:13" x14ac:dyDescent="0.2">
      <c r="A5" s="75" t="s">
        <v>146</v>
      </c>
      <c r="B5" s="73"/>
      <c r="C5" s="73"/>
      <c r="D5" s="73"/>
      <c r="E5" s="73"/>
      <c r="F5" s="73"/>
      <c r="G5" s="73"/>
      <c r="H5" s="73"/>
      <c r="I5" s="73"/>
      <c r="J5" s="73"/>
    </row>
    <row r="7" spans="1:13" x14ac:dyDescent="0.2">
      <c r="A7" s="76" t="s">
        <v>147</v>
      </c>
      <c r="B7" s="73"/>
      <c r="C7" s="73"/>
      <c r="D7" s="73"/>
      <c r="E7" s="73"/>
      <c r="F7" s="73"/>
      <c r="G7" s="73"/>
      <c r="H7" s="73"/>
      <c r="I7" s="73"/>
      <c r="J7" s="73"/>
    </row>
    <row r="8" spans="1:13" x14ac:dyDescent="0.2">
      <c r="A8" s="73"/>
      <c r="B8" s="73"/>
      <c r="C8" s="73"/>
      <c r="D8" s="73"/>
      <c r="E8" s="73"/>
      <c r="F8" s="76" t="s">
        <v>148</v>
      </c>
      <c r="G8" s="76" t="s">
        <v>149</v>
      </c>
      <c r="H8" s="73"/>
      <c r="I8" s="73"/>
      <c r="J8" s="73"/>
    </row>
    <row r="9" spans="1:13" x14ac:dyDescent="0.2">
      <c r="A9" s="76" t="s">
        <v>150</v>
      </c>
      <c r="B9" s="73"/>
      <c r="C9" s="73"/>
      <c r="D9" s="73"/>
      <c r="E9" s="73"/>
      <c r="F9" s="76" t="s">
        <v>151</v>
      </c>
      <c r="G9" s="76" t="s">
        <v>152</v>
      </c>
      <c r="H9" s="73"/>
      <c r="I9" s="73"/>
      <c r="J9" s="73"/>
    </row>
    <row r="10" spans="1:13" x14ac:dyDescent="0.2">
      <c r="A10" s="76" t="s">
        <v>153</v>
      </c>
      <c r="B10" s="76" t="s">
        <v>154</v>
      </c>
      <c r="C10" s="76" t="s">
        <v>155</v>
      </c>
      <c r="D10" s="73"/>
      <c r="E10" s="73"/>
      <c r="F10" s="76" t="s">
        <v>156</v>
      </c>
      <c r="G10" s="76" t="s">
        <v>157</v>
      </c>
      <c r="H10" s="76" t="s">
        <v>67</v>
      </c>
      <c r="I10" s="76" t="s">
        <v>158</v>
      </c>
      <c r="J10" s="76" t="s">
        <v>12</v>
      </c>
      <c r="K10" s="76" t="s">
        <v>67</v>
      </c>
      <c r="L10" s="76" t="s">
        <v>158</v>
      </c>
      <c r="M10" s="76" t="s">
        <v>12</v>
      </c>
    </row>
    <row r="11" spans="1:13" x14ac:dyDescent="0.2">
      <c r="A11" s="73"/>
      <c r="B11" s="76" t="s">
        <v>159</v>
      </c>
      <c r="C11" s="73"/>
      <c r="D11" s="73"/>
      <c r="E11" s="73"/>
      <c r="F11" s="73"/>
      <c r="G11" s="73"/>
      <c r="H11" s="73"/>
      <c r="I11" s="73"/>
      <c r="J11" s="73"/>
    </row>
    <row r="12" spans="1:13" x14ac:dyDescent="0.2">
      <c r="A12" s="73"/>
      <c r="B12" s="73"/>
      <c r="C12" s="77" t="s">
        <v>160</v>
      </c>
      <c r="D12" s="73"/>
      <c r="E12" s="73"/>
      <c r="F12" s="73"/>
      <c r="G12" s="73"/>
      <c r="H12" s="73"/>
      <c r="I12" s="73"/>
      <c r="J12" s="73"/>
    </row>
    <row r="13" spans="1:13" x14ac:dyDescent="0.2">
      <c r="A13" s="77" t="s">
        <v>161</v>
      </c>
      <c r="B13" s="77" t="s">
        <v>162</v>
      </c>
      <c r="C13" s="77" t="s">
        <v>163</v>
      </c>
      <c r="D13" s="73"/>
      <c r="E13" s="73"/>
      <c r="F13" s="78">
        <v>425</v>
      </c>
      <c r="G13" s="79">
        <v>0.24</v>
      </c>
      <c r="H13" s="79">
        <v>0.9</v>
      </c>
      <c r="I13" s="79">
        <v>0</v>
      </c>
      <c r="J13" s="79">
        <v>0.1</v>
      </c>
      <c r="K13">
        <f>$F13*H13</f>
        <v>382.5</v>
      </c>
      <c r="L13" s="72">
        <f>$F13*I13</f>
        <v>0</v>
      </c>
      <c r="M13" s="72">
        <f>$F13*J13</f>
        <v>42.5</v>
      </c>
    </row>
    <row r="14" spans="1:13" x14ac:dyDescent="0.2">
      <c r="A14" s="73"/>
      <c r="B14" s="77" t="s">
        <v>164</v>
      </c>
      <c r="C14" s="77" t="s">
        <v>165</v>
      </c>
      <c r="D14" s="77" t="s">
        <v>166</v>
      </c>
      <c r="E14" s="77" t="s">
        <v>167</v>
      </c>
      <c r="F14" s="73"/>
      <c r="G14" s="73"/>
      <c r="H14" s="73"/>
      <c r="I14" s="73"/>
      <c r="J14" s="73"/>
      <c r="K14" s="72"/>
      <c r="L14" s="72"/>
      <c r="M14" s="72"/>
    </row>
    <row r="15" spans="1:13" x14ac:dyDescent="0.2">
      <c r="A15" s="77" t="s">
        <v>161</v>
      </c>
      <c r="B15" s="77" t="s">
        <v>168</v>
      </c>
      <c r="C15" s="73"/>
      <c r="D15" s="73"/>
      <c r="E15" s="73"/>
      <c r="F15" s="78">
        <v>100</v>
      </c>
      <c r="G15" s="79">
        <v>0.06</v>
      </c>
      <c r="H15" s="79">
        <v>0.15</v>
      </c>
      <c r="I15" s="79">
        <v>0</v>
      </c>
      <c r="J15" s="79">
        <v>0.85</v>
      </c>
      <c r="K15" s="72">
        <f>$F15*H15</f>
        <v>15</v>
      </c>
      <c r="L15" s="72">
        <f>$F15*I15</f>
        <v>0</v>
      </c>
      <c r="M15" s="72">
        <f>$F15*J15</f>
        <v>85</v>
      </c>
    </row>
    <row r="16" spans="1:13" x14ac:dyDescent="0.2">
      <c r="A16" s="73"/>
      <c r="B16" s="73"/>
      <c r="C16" s="77" t="s">
        <v>169</v>
      </c>
      <c r="D16" s="73"/>
      <c r="E16" s="73"/>
      <c r="F16" s="73"/>
      <c r="G16" s="73"/>
      <c r="H16" s="73"/>
      <c r="I16" s="73"/>
      <c r="J16" s="73"/>
      <c r="K16" s="72"/>
      <c r="L16" s="72"/>
      <c r="M16" s="72"/>
    </row>
    <row r="17" spans="1:13" x14ac:dyDescent="0.2">
      <c r="A17" s="73"/>
      <c r="B17" s="73"/>
      <c r="C17" s="77" t="s">
        <v>170</v>
      </c>
      <c r="D17" s="73"/>
      <c r="E17" s="73"/>
      <c r="F17" s="73"/>
      <c r="G17" s="73"/>
      <c r="H17" s="73"/>
      <c r="I17" s="73"/>
      <c r="J17" s="73"/>
      <c r="K17" s="72"/>
      <c r="L17" s="72"/>
      <c r="M17" s="72"/>
    </row>
    <row r="18" spans="1:13" x14ac:dyDescent="0.2">
      <c r="A18" s="77" t="s">
        <v>161</v>
      </c>
      <c r="B18" s="77" t="s">
        <v>168</v>
      </c>
      <c r="C18" s="73"/>
      <c r="D18" s="73"/>
      <c r="E18" s="73"/>
      <c r="F18" s="78">
        <v>80</v>
      </c>
      <c r="G18" s="79">
        <v>0.05</v>
      </c>
      <c r="H18" s="79">
        <v>0</v>
      </c>
      <c r="I18" s="79">
        <v>0</v>
      </c>
      <c r="J18" s="79">
        <v>1</v>
      </c>
      <c r="K18" s="72">
        <f>$F18*H18</f>
        <v>0</v>
      </c>
      <c r="L18" s="72">
        <f>$F18*I18</f>
        <v>0</v>
      </c>
      <c r="M18" s="72">
        <f>$F18*J18</f>
        <v>80</v>
      </c>
    </row>
    <row r="19" spans="1:13" x14ac:dyDescent="0.2">
      <c r="A19" s="73"/>
      <c r="B19" s="73"/>
      <c r="C19" s="77" t="s">
        <v>171</v>
      </c>
      <c r="D19" s="73"/>
      <c r="E19" s="73"/>
      <c r="F19" s="73"/>
      <c r="G19" s="73"/>
      <c r="H19" s="73"/>
      <c r="I19" s="73"/>
      <c r="J19" s="73"/>
      <c r="K19" s="72"/>
      <c r="L19" s="72"/>
      <c r="M19" s="72"/>
    </row>
    <row r="20" spans="1:13" x14ac:dyDescent="0.2">
      <c r="A20" s="77" t="s">
        <v>161</v>
      </c>
      <c r="B20" s="77" t="s">
        <v>172</v>
      </c>
      <c r="C20" s="77" t="s">
        <v>173</v>
      </c>
      <c r="D20" s="73"/>
      <c r="E20" s="73"/>
      <c r="F20" s="78">
        <v>75</v>
      </c>
      <c r="G20" s="79">
        <v>0.04</v>
      </c>
      <c r="H20" s="79">
        <v>0.67</v>
      </c>
      <c r="I20" s="79">
        <v>0.33</v>
      </c>
      <c r="J20" s="79">
        <v>0</v>
      </c>
      <c r="K20" s="72">
        <f>$F20*H20</f>
        <v>50.25</v>
      </c>
      <c r="L20" s="72">
        <f>$F20*I20</f>
        <v>24.75</v>
      </c>
      <c r="M20" s="72">
        <f>$F20*J20</f>
        <v>0</v>
      </c>
    </row>
    <row r="21" spans="1:13" x14ac:dyDescent="0.2">
      <c r="A21" s="73"/>
      <c r="B21" s="73"/>
      <c r="C21" s="77" t="s">
        <v>174</v>
      </c>
      <c r="D21" s="73"/>
      <c r="E21" s="73"/>
      <c r="F21" s="73"/>
      <c r="G21" s="73"/>
      <c r="H21" s="73"/>
      <c r="I21" s="73"/>
      <c r="J21" s="73"/>
      <c r="K21" s="72"/>
      <c r="L21" s="72"/>
      <c r="M21" s="72"/>
    </row>
    <row r="22" spans="1:13" x14ac:dyDescent="0.2">
      <c r="A22" s="73"/>
      <c r="B22" s="73"/>
      <c r="C22" s="77" t="s">
        <v>175</v>
      </c>
      <c r="D22" s="73"/>
      <c r="E22" s="73"/>
      <c r="F22" s="73"/>
      <c r="G22" s="73"/>
      <c r="H22" s="73"/>
      <c r="I22" s="73"/>
      <c r="J22" s="73"/>
      <c r="K22" s="72"/>
      <c r="L22" s="72"/>
      <c r="M22" s="72"/>
    </row>
    <row r="23" spans="1:13" x14ac:dyDescent="0.2">
      <c r="A23" s="77" t="s">
        <v>161</v>
      </c>
      <c r="B23" s="77" t="s">
        <v>162</v>
      </c>
      <c r="C23" s="73"/>
      <c r="D23" s="73"/>
      <c r="E23" s="73"/>
      <c r="F23" s="78">
        <v>63</v>
      </c>
      <c r="G23" s="79">
        <v>0.04</v>
      </c>
      <c r="H23" s="79">
        <v>0</v>
      </c>
      <c r="I23" s="79">
        <v>0</v>
      </c>
      <c r="J23" s="79">
        <v>1</v>
      </c>
      <c r="K23" s="72">
        <f>$F23*H23</f>
        <v>0</v>
      </c>
      <c r="L23" s="72">
        <f>$F23*I23</f>
        <v>0</v>
      </c>
      <c r="M23" s="72">
        <f>$F23*J23</f>
        <v>63</v>
      </c>
    </row>
    <row r="24" spans="1:13" x14ac:dyDescent="0.2">
      <c r="A24" s="73"/>
      <c r="B24" s="73"/>
      <c r="C24" s="77" t="s">
        <v>176</v>
      </c>
      <c r="D24" s="73"/>
      <c r="E24" s="73"/>
      <c r="F24" s="73"/>
      <c r="G24" s="73"/>
      <c r="H24" s="73"/>
      <c r="I24" s="73"/>
      <c r="J24" s="73"/>
      <c r="K24" s="72"/>
      <c r="L24" s="72"/>
      <c r="M24" s="72"/>
    </row>
    <row r="25" spans="1:13" x14ac:dyDescent="0.2">
      <c r="A25" s="73"/>
      <c r="B25" s="73"/>
      <c r="C25" s="77" t="s">
        <v>177</v>
      </c>
      <c r="D25" s="73"/>
      <c r="E25" s="73"/>
      <c r="F25" s="73"/>
      <c r="G25" s="73"/>
      <c r="H25" s="73"/>
      <c r="I25" s="73"/>
      <c r="J25" s="73"/>
      <c r="K25" s="72"/>
      <c r="L25" s="72"/>
      <c r="M25" s="72"/>
    </row>
    <row r="26" spans="1:13" x14ac:dyDescent="0.2">
      <c r="A26" s="77" t="s">
        <v>161</v>
      </c>
      <c r="B26" s="77" t="s">
        <v>162</v>
      </c>
      <c r="C26" s="73"/>
      <c r="D26" s="73"/>
      <c r="E26" s="73"/>
      <c r="F26" s="78">
        <v>50</v>
      </c>
      <c r="G26" s="79">
        <v>0.03</v>
      </c>
      <c r="H26" s="79">
        <v>0.5</v>
      </c>
      <c r="I26" s="79">
        <v>0</v>
      </c>
      <c r="J26" s="79">
        <v>0.5</v>
      </c>
      <c r="K26" s="72">
        <f>$F26*H26</f>
        <v>25</v>
      </c>
      <c r="L26" s="72">
        <f>$F26*I26</f>
        <v>0</v>
      </c>
      <c r="M26" s="72">
        <f>$F26*J26</f>
        <v>25</v>
      </c>
    </row>
    <row r="27" spans="1:13" x14ac:dyDescent="0.2">
      <c r="A27" s="73"/>
      <c r="B27" s="73"/>
      <c r="C27" s="77" t="s">
        <v>178</v>
      </c>
      <c r="D27" s="73"/>
      <c r="E27" s="73"/>
      <c r="F27" s="73"/>
      <c r="G27" s="73"/>
      <c r="H27" s="73"/>
      <c r="I27" s="73"/>
      <c r="J27" s="73"/>
      <c r="K27" s="72"/>
      <c r="L27" s="72"/>
      <c r="M27" s="72"/>
    </row>
    <row r="28" spans="1:13" x14ac:dyDescent="0.2">
      <c r="A28" s="73"/>
      <c r="B28" s="73"/>
      <c r="C28" s="77" t="s">
        <v>179</v>
      </c>
      <c r="D28" s="73"/>
      <c r="E28" s="73"/>
      <c r="F28" s="73"/>
      <c r="G28" s="73"/>
      <c r="H28" s="73"/>
      <c r="I28" s="73"/>
      <c r="J28" s="73"/>
      <c r="K28" s="72"/>
      <c r="L28" s="72"/>
      <c r="M28" s="72"/>
    </row>
    <row r="29" spans="1:13" x14ac:dyDescent="0.2">
      <c r="A29" s="77" t="s">
        <v>161</v>
      </c>
      <c r="B29" s="77" t="s">
        <v>172</v>
      </c>
      <c r="C29" s="73"/>
      <c r="D29" s="73"/>
      <c r="E29" s="73"/>
      <c r="F29" s="78">
        <v>25</v>
      </c>
      <c r="G29" s="79">
        <v>0.01</v>
      </c>
      <c r="H29" s="79">
        <v>1</v>
      </c>
      <c r="I29" s="79">
        <v>0</v>
      </c>
      <c r="J29" s="79">
        <v>0</v>
      </c>
      <c r="K29" s="72">
        <f>$F29*H29</f>
        <v>25</v>
      </c>
      <c r="L29" s="72">
        <f>$F29*I29</f>
        <v>0</v>
      </c>
      <c r="M29" s="72">
        <f>$F29*J29</f>
        <v>0</v>
      </c>
    </row>
    <row r="30" spans="1:13" x14ac:dyDescent="0.2">
      <c r="A30" s="73"/>
      <c r="B30" s="77" t="s">
        <v>180</v>
      </c>
      <c r="C30" s="73"/>
      <c r="D30" s="73"/>
      <c r="E30" s="73"/>
      <c r="F30" s="73"/>
      <c r="G30" s="73"/>
      <c r="H30" s="73"/>
      <c r="I30" s="73"/>
      <c r="J30" s="73"/>
      <c r="K30" s="72"/>
      <c r="L30" s="72"/>
      <c r="M30" s="72"/>
    </row>
    <row r="31" spans="1:13" x14ac:dyDescent="0.2">
      <c r="A31" s="73"/>
      <c r="B31" s="73"/>
      <c r="C31" s="77" t="s">
        <v>181</v>
      </c>
      <c r="D31" s="73"/>
      <c r="E31" s="73"/>
      <c r="F31" s="73"/>
      <c r="G31" s="73"/>
      <c r="H31" s="73"/>
      <c r="I31" s="73"/>
      <c r="J31" s="73"/>
      <c r="K31" s="72"/>
      <c r="L31" s="72"/>
      <c r="M31" s="72"/>
    </row>
    <row r="32" spans="1:13" x14ac:dyDescent="0.2">
      <c r="A32" s="77" t="s">
        <v>161</v>
      </c>
      <c r="B32" s="77" t="s">
        <v>168</v>
      </c>
      <c r="C32" s="77" t="s">
        <v>182</v>
      </c>
      <c r="D32" s="73"/>
      <c r="E32" s="73"/>
      <c r="F32" s="78">
        <v>10</v>
      </c>
      <c r="G32" s="79">
        <v>0.01</v>
      </c>
      <c r="H32" s="79">
        <v>0</v>
      </c>
      <c r="I32" s="79">
        <v>0</v>
      </c>
      <c r="J32" s="79">
        <v>1</v>
      </c>
      <c r="K32" s="72">
        <f>$F32*H32</f>
        <v>0</v>
      </c>
      <c r="L32" s="72">
        <f>$F32*I32</f>
        <v>0</v>
      </c>
      <c r="M32" s="72">
        <f>$F32*J32</f>
        <v>10</v>
      </c>
    </row>
    <row r="33" spans="1:13" x14ac:dyDescent="0.2">
      <c r="A33" s="73"/>
      <c r="B33" s="73"/>
      <c r="C33" s="77" t="s">
        <v>183</v>
      </c>
      <c r="D33" s="73"/>
      <c r="E33" s="73"/>
      <c r="F33" s="73"/>
      <c r="G33" s="73"/>
      <c r="H33" s="73"/>
      <c r="I33" s="73"/>
      <c r="J33" s="73"/>
      <c r="K33" s="72"/>
      <c r="L33" s="72"/>
      <c r="M33" s="72"/>
    </row>
    <row r="34" spans="1:13" x14ac:dyDescent="0.2">
      <c r="A34" s="73"/>
      <c r="B34" s="73"/>
      <c r="C34" s="77" t="s">
        <v>184</v>
      </c>
      <c r="D34" s="73"/>
      <c r="E34" s="73"/>
      <c r="F34" s="73"/>
      <c r="G34" s="73"/>
      <c r="H34" s="73"/>
      <c r="I34" s="73"/>
      <c r="J34" s="73"/>
      <c r="K34" s="72"/>
      <c r="L34" s="72"/>
      <c r="M34" s="72"/>
    </row>
    <row r="35" spans="1:13" x14ac:dyDescent="0.2">
      <c r="A35" s="77" t="s">
        <v>161</v>
      </c>
      <c r="B35" s="77" t="s">
        <v>162</v>
      </c>
      <c r="C35" s="73"/>
      <c r="D35" s="73"/>
      <c r="E35" s="73"/>
      <c r="F35" s="78">
        <v>7</v>
      </c>
      <c r="G35" s="80">
        <v>4.0000000000000001E-3</v>
      </c>
      <c r="H35" s="79">
        <v>1</v>
      </c>
      <c r="I35" s="79">
        <v>0</v>
      </c>
      <c r="J35" s="79">
        <v>0</v>
      </c>
      <c r="K35" s="72">
        <f>$F35*H35</f>
        <v>7</v>
      </c>
      <c r="L35" s="72">
        <f>$F35*I35</f>
        <v>0</v>
      </c>
      <c r="M35" s="72">
        <f>$F35*J35</f>
        <v>0</v>
      </c>
    </row>
    <row r="36" spans="1:13" x14ac:dyDescent="0.2">
      <c r="A36" s="73"/>
      <c r="B36" s="77" t="s">
        <v>185</v>
      </c>
      <c r="C36" s="73"/>
      <c r="D36" s="73"/>
      <c r="E36" s="73"/>
      <c r="F36" s="73"/>
      <c r="G36" s="73"/>
      <c r="H36" s="73"/>
      <c r="I36" s="73"/>
      <c r="J36" s="73"/>
      <c r="K36" s="72"/>
      <c r="L36" s="72"/>
      <c r="M36" s="72"/>
    </row>
    <row r="37" spans="1:13" x14ac:dyDescent="0.2">
      <c r="A37" s="73"/>
      <c r="B37" s="76" t="s">
        <v>186</v>
      </c>
      <c r="C37" s="73"/>
      <c r="D37" s="73"/>
      <c r="E37" s="73"/>
      <c r="F37" s="73"/>
      <c r="G37" s="73"/>
      <c r="H37" s="73"/>
      <c r="I37" s="73"/>
      <c r="J37" s="73"/>
      <c r="K37" s="72"/>
      <c r="L37" s="72"/>
      <c r="M37" s="72"/>
    </row>
    <row r="38" spans="1:13" x14ac:dyDescent="0.2">
      <c r="A38" s="73"/>
      <c r="B38" s="73"/>
      <c r="C38" s="77" t="s">
        <v>187</v>
      </c>
      <c r="D38" s="73"/>
      <c r="E38" s="73"/>
      <c r="F38" s="73"/>
      <c r="G38" s="73"/>
      <c r="H38" s="73"/>
      <c r="I38" s="73"/>
      <c r="J38" s="73"/>
      <c r="K38" s="72"/>
      <c r="L38" s="72"/>
      <c r="M38" s="72"/>
    </row>
    <row r="39" spans="1:13" x14ac:dyDescent="0.2">
      <c r="A39" s="77" t="s">
        <v>161</v>
      </c>
      <c r="B39" s="77" t="s">
        <v>168</v>
      </c>
      <c r="C39" s="73"/>
      <c r="D39" s="73"/>
      <c r="E39" s="73"/>
      <c r="F39" s="78">
        <v>115</v>
      </c>
      <c r="G39" s="79">
        <v>7.0000000000000007E-2</v>
      </c>
      <c r="H39" s="79">
        <v>0</v>
      </c>
      <c r="I39" s="79">
        <v>0</v>
      </c>
      <c r="J39" s="79">
        <v>1</v>
      </c>
      <c r="K39" s="72">
        <f>$F39*H39</f>
        <v>0</v>
      </c>
      <c r="L39" s="72">
        <f>$F39*I39</f>
        <v>0</v>
      </c>
      <c r="M39" s="72">
        <f>$F39*J39</f>
        <v>115</v>
      </c>
    </row>
    <row r="40" spans="1:13" x14ac:dyDescent="0.2">
      <c r="A40" s="73"/>
      <c r="B40" s="73"/>
      <c r="C40" s="77" t="s">
        <v>188</v>
      </c>
      <c r="D40" s="73"/>
      <c r="E40" s="73"/>
      <c r="F40" s="73"/>
      <c r="G40" s="73"/>
      <c r="H40" s="73"/>
      <c r="I40" s="73"/>
      <c r="J40" s="73"/>
      <c r="K40" s="72"/>
      <c r="L40" s="72"/>
      <c r="M40" s="72"/>
    </row>
    <row r="41" spans="1:13" x14ac:dyDescent="0.2">
      <c r="A41" s="77" t="s">
        <v>189</v>
      </c>
      <c r="B41" s="73"/>
      <c r="C41" s="73"/>
      <c r="D41" s="73"/>
      <c r="E41" s="73"/>
      <c r="F41" s="73"/>
      <c r="G41" s="73"/>
      <c r="H41" s="73"/>
      <c r="I41" s="73"/>
      <c r="J41" s="73"/>
      <c r="K41" s="72"/>
      <c r="L41" s="72"/>
      <c r="M41" s="72"/>
    </row>
    <row r="42" spans="1:13" x14ac:dyDescent="0.2">
      <c r="A42" s="77" t="s">
        <v>190</v>
      </c>
      <c r="B42" s="77" t="s">
        <v>162</v>
      </c>
      <c r="C42" s="77" t="s">
        <v>191</v>
      </c>
      <c r="D42" s="73"/>
      <c r="E42" s="73"/>
      <c r="F42" s="78">
        <v>60</v>
      </c>
      <c r="G42" s="79">
        <v>0.03</v>
      </c>
      <c r="H42" s="79">
        <v>1</v>
      </c>
      <c r="I42" s="79">
        <v>0</v>
      </c>
      <c r="J42" s="79">
        <v>0</v>
      </c>
      <c r="K42" s="72">
        <f>$F42*H42</f>
        <v>60</v>
      </c>
      <c r="L42" s="72">
        <f>$F42*I42</f>
        <v>0</v>
      </c>
      <c r="M42" s="72">
        <f>$F42*J42</f>
        <v>0</v>
      </c>
    </row>
    <row r="43" spans="1:13" x14ac:dyDescent="0.2">
      <c r="A43" s="77" t="s">
        <v>192</v>
      </c>
      <c r="B43" s="73"/>
      <c r="C43" s="77" t="s">
        <v>193</v>
      </c>
      <c r="D43" s="73"/>
      <c r="E43" s="73"/>
      <c r="F43" s="73"/>
      <c r="G43" s="73"/>
      <c r="H43" s="73"/>
      <c r="I43" s="73"/>
      <c r="J43" s="73"/>
      <c r="K43" s="72"/>
      <c r="L43" s="72"/>
      <c r="M43" s="72"/>
    </row>
    <row r="44" spans="1:13" x14ac:dyDescent="0.2">
      <c r="A44" s="77" t="s">
        <v>161</v>
      </c>
      <c r="B44" s="77" t="s">
        <v>162</v>
      </c>
      <c r="C44" s="77" t="s">
        <v>194</v>
      </c>
      <c r="D44" s="73"/>
      <c r="E44" s="73"/>
      <c r="F44" s="78">
        <v>50</v>
      </c>
      <c r="G44" s="79">
        <v>0.03</v>
      </c>
      <c r="H44" s="79">
        <v>0.76</v>
      </c>
      <c r="I44" s="79">
        <v>0</v>
      </c>
      <c r="J44" s="79">
        <v>0.24</v>
      </c>
      <c r="K44" s="72">
        <f>$F44*H44</f>
        <v>38</v>
      </c>
      <c r="L44" s="72">
        <f>$F44*I44</f>
        <v>0</v>
      </c>
      <c r="M44" s="72">
        <f>$F44*J44</f>
        <v>12</v>
      </c>
    </row>
    <row r="45" spans="1:13" x14ac:dyDescent="0.2">
      <c r="A45" s="73"/>
      <c r="B45" s="73"/>
      <c r="C45" s="77" t="s">
        <v>195</v>
      </c>
      <c r="D45" s="73"/>
      <c r="E45" s="73"/>
      <c r="F45" s="73"/>
      <c r="G45" s="73"/>
      <c r="H45" s="73"/>
      <c r="I45" s="73"/>
      <c r="J45" s="73"/>
      <c r="K45" s="72"/>
      <c r="L45" s="72"/>
      <c r="M45" s="72"/>
    </row>
    <row r="46" spans="1:13" x14ac:dyDescent="0.2">
      <c r="A46" s="77" t="s">
        <v>161</v>
      </c>
      <c r="B46" s="77" t="s">
        <v>162</v>
      </c>
      <c r="C46" s="73"/>
      <c r="D46" s="73"/>
      <c r="E46" s="73"/>
      <c r="F46" s="78">
        <v>50</v>
      </c>
      <c r="G46" s="79">
        <v>0.03</v>
      </c>
      <c r="H46" s="79">
        <v>1</v>
      </c>
      <c r="I46" s="79">
        <v>0</v>
      </c>
      <c r="J46" s="79">
        <v>0</v>
      </c>
      <c r="K46" s="72">
        <f>$F46*H46</f>
        <v>50</v>
      </c>
      <c r="L46" s="72">
        <f>$F46*I46</f>
        <v>0</v>
      </c>
      <c r="M46" s="72">
        <f>$F46*J46</f>
        <v>0</v>
      </c>
    </row>
    <row r="47" spans="1:13" x14ac:dyDescent="0.2">
      <c r="A47" s="73"/>
      <c r="B47" s="73"/>
      <c r="C47" s="77" t="s">
        <v>196</v>
      </c>
      <c r="D47" s="73"/>
      <c r="E47" s="73"/>
      <c r="F47" s="73"/>
      <c r="G47" s="73"/>
      <c r="H47" s="73"/>
      <c r="I47" s="73"/>
      <c r="J47" s="73"/>
      <c r="K47" s="72"/>
      <c r="L47" s="72"/>
      <c r="M47" s="72"/>
    </row>
    <row r="48" spans="1:13" x14ac:dyDescent="0.2">
      <c r="A48" s="73"/>
      <c r="B48" s="73"/>
      <c r="C48" s="77" t="s">
        <v>197</v>
      </c>
      <c r="D48" s="73"/>
      <c r="E48" s="73"/>
      <c r="F48" s="73"/>
      <c r="G48" s="73"/>
      <c r="H48" s="73"/>
      <c r="I48" s="73"/>
      <c r="J48" s="73"/>
      <c r="K48" s="72"/>
      <c r="L48" s="72"/>
      <c r="M48" s="72"/>
    </row>
    <row r="49" spans="1:13" x14ac:dyDescent="0.2">
      <c r="A49" s="77" t="s">
        <v>161</v>
      </c>
      <c r="B49" s="77" t="s">
        <v>198</v>
      </c>
      <c r="C49" s="77" t="s">
        <v>199</v>
      </c>
      <c r="D49" s="73"/>
      <c r="E49" s="73"/>
      <c r="F49" s="78">
        <v>46</v>
      </c>
      <c r="G49" s="79">
        <v>0.03</v>
      </c>
      <c r="H49" s="79">
        <v>0</v>
      </c>
      <c r="I49" s="79">
        <v>0</v>
      </c>
      <c r="J49" s="79">
        <v>1</v>
      </c>
      <c r="K49" s="72">
        <f>$F49*H49</f>
        <v>0</v>
      </c>
      <c r="L49" s="72">
        <f>$F49*I49</f>
        <v>0</v>
      </c>
      <c r="M49" s="72">
        <f>$F49*J49</f>
        <v>46</v>
      </c>
    </row>
    <row r="50" spans="1:13" x14ac:dyDescent="0.2">
      <c r="A50" s="73"/>
      <c r="B50" s="73"/>
      <c r="C50" s="77" t="s">
        <v>200</v>
      </c>
      <c r="D50" s="73"/>
      <c r="E50" s="73"/>
      <c r="F50" s="73"/>
      <c r="G50" s="73"/>
      <c r="H50" s="73"/>
      <c r="I50" s="73"/>
      <c r="J50" s="73"/>
      <c r="K50" s="72"/>
      <c r="L50" s="72"/>
      <c r="M50" s="72"/>
    </row>
    <row r="51" spans="1:13" x14ac:dyDescent="0.2">
      <c r="A51" s="73"/>
      <c r="B51" s="73"/>
      <c r="C51" s="77" t="s">
        <v>201</v>
      </c>
      <c r="D51" s="73"/>
      <c r="E51" s="73"/>
      <c r="F51" s="73"/>
      <c r="G51" s="73"/>
      <c r="H51" s="73"/>
      <c r="I51" s="73"/>
      <c r="J51" s="73"/>
      <c r="K51" s="72"/>
      <c r="L51" s="72"/>
      <c r="M51" s="72"/>
    </row>
    <row r="52" spans="1:13" x14ac:dyDescent="0.2">
      <c r="A52" s="77" t="s">
        <v>202</v>
      </c>
      <c r="B52" s="77" t="s">
        <v>168</v>
      </c>
      <c r="C52" s="73"/>
      <c r="D52" s="73"/>
      <c r="E52" s="73"/>
      <c r="F52" s="78">
        <v>42</v>
      </c>
      <c r="G52" s="79">
        <v>0.02</v>
      </c>
      <c r="H52" s="79">
        <v>0</v>
      </c>
      <c r="I52" s="79">
        <v>0</v>
      </c>
      <c r="J52" s="79">
        <v>1</v>
      </c>
      <c r="K52" s="72">
        <f>$F52*H52</f>
        <v>0</v>
      </c>
      <c r="L52" s="72">
        <f>$F52*I52</f>
        <v>0</v>
      </c>
      <c r="M52" s="72">
        <f>$F52*J52</f>
        <v>42</v>
      </c>
    </row>
    <row r="53" spans="1:13" x14ac:dyDescent="0.2">
      <c r="A53" s="73"/>
      <c r="B53" s="73"/>
      <c r="C53" s="77" t="s">
        <v>203</v>
      </c>
      <c r="D53" s="73"/>
      <c r="E53" s="73"/>
      <c r="F53" s="73"/>
      <c r="G53" s="73"/>
      <c r="H53" s="73"/>
      <c r="I53" s="73"/>
      <c r="J53" s="73"/>
      <c r="K53" s="72"/>
      <c r="L53" s="72"/>
      <c r="M53" s="72"/>
    </row>
    <row r="54" spans="1:13" x14ac:dyDescent="0.2">
      <c r="A54" s="73"/>
      <c r="B54" s="76" t="s">
        <v>204</v>
      </c>
      <c r="C54" s="73"/>
      <c r="D54" s="73"/>
      <c r="E54" s="73"/>
      <c r="F54" s="81">
        <v>1198</v>
      </c>
      <c r="G54" s="79">
        <v>0.68</v>
      </c>
      <c r="H54" s="79">
        <v>0.54</v>
      </c>
      <c r="I54" s="79">
        <v>0.02</v>
      </c>
      <c r="J54" s="79">
        <v>0.44</v>
      </c>
      <c r="K54" s="72">
        <f>$F54*H54</f>
        <v>646.92000000000007</v>
      </c>
      <c r="L54" s="72">
        <f>$F54*I54</f>
        <v>23.96</v>
      </c>
      <c r="M54" s="72">
        <f>$F54*J54</f>
        <v>527.12</v>
      </c>
    </row>
    <row r="55" spans="1:13" x14ac:dyDescent="0.2">
      <c r="A55" s="73"/>
      <c r="B55" s="77" t="s">
        <v>205</v>
      </c>
      <c r="C55" s="73"/>
      <c r="D55" s="73"/>
      <c r="E55" s="73"/>
      <c r="F55" s="78">
        <v>556</v>
      </c>
      <c r="G55" s="73"/>
      <c r="H55" s="73"/>
      <c r="I55" s="73"/>
      <c r="J55" s="73"/>
      <c r="L55" s="72"/>
      <c r="M55" s="72"/>
    </row>
    <row r="56" spans="1:13" x14ac:dyDescent="0.2">
      <c r="A56" s="73"/>
      <c r="B56" s="76" t="s">
        <v>206</v>
      </c>
      <c r="C56" s="73"/>
      <c r="D56" s="73"/>
      <c r="E56" s="73"/>
      <c r="F56" s="82">
        <v>1754</v>
      </c>
      <c r="G56" s="73"/>
      <c r="H56" s="73"/>
      <c r="I56" s="73"/>
      <c r="J56" s="73"/>
    </row>
    <row r="58" spans="1:13" x14ac:dyDescent="0.2">
      <c r="A58" s="83" t="s">
        <v>207</v>
      </c>
      <c r="B58" s="73"/>
      <c r="C58" s="73"/>
      <c r="D58" s="73"/>
      <c r="E58" s="73"/>
      <c r="F58" s="73"/>
      <c r="G58" s="73"/>
      <c r="H58" s="73"/>
      <c r="I58" s="73"/>
      <c r="J58" s="73"/>
    </row>
    <row r="60" spans="1:13" x14ac:dyDescent="0.2">
      <c r="A60" s="84"/>
      <c r="B60" s="73"/>
      <c r="C60" s="73"/>
      <c r="D60" s="73"/>
      <c r="E60" s="73"/>
      <c r="F60" s="73"/>
      <c r="G60" s="73"/>
      <c r="H60" s="73"/>
      <c r="I60" s="73"/>
      <c r="J60" s="7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874A1-446A-46F2-91AC-3B33D5AD315A}">
  <dimension ref="A1:C8"/>
  <sheetViews>
    <sheetView workbookViewId="0">
      <selection activeCell="E5" sqref="E5"/>
    </sheetView>
  </sheetViews>
  <sheetFormatPr defaultRowHeight="12.75" x14ac:dyDescent="0.2"/>
  <cols>
    <col min="1" max="1" width="15.85546875" customWidth="1"/>
    <col min="2" max="2" width="24.5703125" customWidth="1"/>
    <col min="3" max="3" width="23.42578125" customWidth="1"/>
  </cols>
  <sheetData>
    <row r="1" spans="1:3" x14ac:dyDescent="0.2">
      <c r="A1" s="99"/>
      <c r="B1" s="153" t="s">
        <v>403</v>
      </c>
      <c r="C1" s="153" t="s">
        <v>404</v>
      </c>
    </row>
    <row r="2" spans="1:3" x14ac:dyDescent="0.2">
      <c r="A2" s="251" t="s">
        <v>402</v>
      </c>
      <c r="C2" s="153" t="s">
        <v>16</v>
      </c>
    </row>
    <row r="3" spans="1:3" ht="76.5" x14ac:dyDescent="0.2">
      <c r="A3" s="153" t="str">
        <f>'Reviews (by dept)'!A26</f>
        <v>UK aid in a conflict-affected country: Reducing conflict and fragility in Somalia</v>
      </c>
      <c r="B3" s="273">
        <f>1.2+0.15+0.27+0.1125+0.45+0.46+0.15+0.03+1.1+3.7+1.8+1.6</f>
        <v>11.022500000000001</v>
      </c>
      <c r="C3" s="153" t="s">
        <v>7</v>
      </c>
    </row>
    <row r="4" spans="1:3" ht="51" x14ac:dyDescent="0.2">
      <c r="A4" s="153" t="str">
        <f>'Reviews (by dept)'!A13</f>
        <v>The Conflict, Stability and Security Fund's aid spending</v>
      </c>
      <c r="B4" s="274">
        <f>SUM('Reviews (by dept)'!I10:I14)</f>
        <v>158.89999999999998</v>
      </c>
      <c r="C4" s="153" t="s">
        <v>16</v>
      </c>
    </row>
    <row r="5" spans="1:3" ht="51" x14ac:dyDescent="0.2">
      <c r="A5" s="99" t="str">
        <f>'Reviews (by dept)'!A71</f>
        <v>Evaluation of the Inter-Departmental Conflict Pool</v>
      </c>
      <c r="B5" s="153">
        <f>SUM('Reviews (by dept)'!I69:I71)</f>
        <v>14.2</v>
      </c>
      <c r="C5" s="153" t="s">
        <v>16</v>
      </c>
    </row>
    <row r="6" spans="1:3" s="216" customFormat="1" x14ac:dyDescent="0.2">
      <c r="A6" s="275" t="s">
        <v>91</v>
      </c>
      <c r="B6" s="276">
        <f>SUM(B3:B5)</f>
        <v>184.12249999999997</v>
      </c>
      <c r="C6" s="275"/>
    </row>
    <row r="7" spans="1:3" x14ac:dyDescent="0.2">
      <c r="A7" s="68" t="s">
        <v>437</v>
      </c>
      <c r="B7">
        <f>COUNT(B3:B5)</f>
        <v>3</v>
      </c>
    </row>
    <row r="8" spans="1:3" x14ac:dyDescent="0.2">
      <c r="A8" s="68" t="s">
        <v>405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2:V32"/>
  <sheetViews>
    <sheetView zoomScale="85" zoomScaleNormal="85" workbookViewId="0">
      <selection activeCell="B5" sqref="B5"/>
    </sheetView>
  </sheetViews>
  <sheetFormatPr defaultColWidth="14.42578125" defaultRowHeight="15.75" customHeight="1" x14ac:dyDescent="0.2"/>
  <cols>
    <col min="1" max="1" width="19.28515625" style="70" customWidth="1"/>
    <col min="2" max="2" width="14.140625" style="70" customWidth="1"/>
    <col min="3" max="3" width="12.140625" style="70" customWidth="1"/>
    <col min="4" max="4" width="18.28515625" style="70" customWidth="1"/>
    <col min="5" max="6" width="14.140625" style="70" customWidth="1"/>
    <col min="7" max="7" width="11.7109375" style="70" customWidth="1"/>
    <col min="8" max="8" width="11.42578125" style="70" customWidth="1"/>
    <col min="9" max="9" width="6.140625" style="70" bestFit="1" customWidth="1"/>
    <col min="10" max="10" width="7.42578125" style="70" customWidth="1"/>
    <col min="11" max="11" width="7.85546875" style="70" customWidth="1"/>
    <col min="12" max="12" width="7.140625" style="70" customWidth="1"/>
    <col min="13" max="13" width="13.85546875" style="70" customWidth="1"/>
    <col min="14" max="14" width="5" style="70" bestFit="1" customWidth="1"/>
    <col min="15" max="16" width="9.42578125" style="70" bestFit="1" customWidth="1"/>
    <col min="17" max="17" width="6.85546875" style="70" bestFit="1" customWidth="1"/>
    <col min="18" max="18" width="6.140625" style="70" customWidth="1"/>
    <col min="19" max="19" width="7.42578125" style="70" customWidth="1"/>
    <col min="20" max="20" width="7.140625" style="70" customWidth="1"/>
    <col min="21" max="21" width="4.28515625" style="70" bestFit="1" customWidth="1"/>
    <col min="22" max="22" width="6.140625" style="70" customWidth="1"/>
    <col min="23" max="16384" width="14.42578125" style="70"/>
  </cols>
  <sheetData>
    <row r="2" spans="1:22" s="124" customFormat="1" ht="51" x14ac:dyDescent="0.2">
      <c r="A2" s="100" t="s">
        <v>209</v>
      </c>
      <c r="B2" s="100" t="s">
        <v>394</v>
      </c>
      <c r="C2" s="100" t="s">
        <v>408</v>
      </c>
      <c r="D2" s="100" t="s">
        <v>449</v>
      </c>
      <c r="E2" s="100" t="s">
        <v>450</v>
      </c>
      <c r="F2" s="100" t="s">
        <v>395</v>
      </c>
      <c r="G2" s="468" t="s">
        <v>241</v>
      </c>
      <c r="H2" s="469"/>
      <c r="I2" s="469"/>
      <c r="J2" s="469"/>
      <c r="K2" s="470"/>
      <c r="M2" s="100"/>
      <c r="N2" s="194"/>
      <c r="O2" s="195"/>
      <c r="P2" s="195"/>
      <c r="Q2" s="195"/>
      <c r="R2" s="196"/>
      <c r="S2" s="196"/>
      <c r="T2" s="196"/>
      <c r="U2" s="196"/>
      <c r="V2" s="196"/>
    </row>
    <row r="3" spans="1:22" s="124" customFormat="1" ht="38.25" x14ac:dyDescent="0.2">
      <c r="A3" s="99"/>
      <c r="B3" s="99"/>
      <c r="C3" s="99"/>
      <c r="D3" s="99"/>
      <c r="E3" s="100"/>
      <c r="F3" s="99"/>
      <c r="G3" s="100" t="s">
        <v>27</v>
      </c>
      <c r="H3" s="100" t="s">
        <v>7</v>
      </c>
      <c r="I3" s="100" t="s">
        <v>16</v>
      </c>
      <c r="J3" s="100" t="s">
        <v>21</v>
      </c>
      <c r="K3" s="100" t="s">
        <v>63</v>
      </c>
      <c r="N3" s="100"/>
      <c r="O3" s="100"/>
      <c r="P3" s="100"/>
      <c r="Q3" s="100"/>
      <c r="R3" s="100"/>
      <c r="S3" s="100"/>
      <c r="T3" s="100"/>
      <c r="U3" s="100"/>
      <c r="V3" s="100"/>
    </row>
    <row r="4" spans="1:22" ht="15.75" customHeight="1" x14ac:dyDescent="0.2">
      <c r="A4" s="98" t="s">
        <v>12</v>
      </c>
      <c r="B4" s="246">
        <f>COUNTIFS('Reviews (by dept)'!F:F,'Annex 2'!A4,'Reviews (by dept)'!D:D,"&lt;&gt;Not graded")</f>
        <v>57</v>
      </c>
      <c r="C4" s="246">
        <f>COUNTIF('Reviews (by dept)'!F:F,'Annex 2'!A4)</f>
        <v>62</v>
      </c>
      <c r="D4" s="123">
        <f>SID!J3</f>
        <v>73017.456138996495</v>
      </c>
      <c r="E4" s="127">
        <f>D4/1000</f>
        <v>73.017456138996494</v>
      </c>
      <c r="F4" s="123">
        <f>SUMIF('Reviews (by dept)'!$F:$F,$A4,'Reviews (by dept)'!$I:$I)</f>
        <v>24688.423522666664</v>
      </c>
      <c r="G4" s="95">
        <f>SUMIFS('Reviews (by dept)'!$I:$I,'Reviews (by dept)'!$D:$D,G$3,'Reviews (by dept)'!$F:$F,$A4)</f>
        <v>428.928</v>
      </c>
      <c r="H4" s="95">
        <f>SUMIFS('Reviews (by dept)'!$I:$I,'Reviews (by dept)'!$D:$D,H$3,'Reviews (by dept)'!$F:$F,$A4)</f>
        <v>15779.135722666666</v>
      </c>
      <c r="I4" s="95">
        <f>SUMIFS('Reviews (by dept)'!$I:$I,'Reviews (by dept)'!$D:$D,I$3,'Reviews (by dept)'!$F:$F,$A4)</f>
        <v>4291.4598000000005</v>
      </c>
      <c r="J4" s="95">
        <f>SUMIFS('Reviews (by dept)'!$I:$I,'Reviews (by dept)'!$D:$D,J$3,'Reviews (by dept)'!$F:$F,$A4)</f>
        <v>109</v>
      </c>
      <c r="K4" s="95">
        <f>SUMIFS('Reviews (by dept)'!$I:$I,'Reviews (by dept)'!$D:$D,K$3,'Reviews (by dept)'!$F:$F,$A4)</f>
        <v>4079.9000000000005</v>
      </c>
      <c r="M4" s="183"/>
      <c r="N4" s="97"/>
      <c r="O4" s="189"/>
      <c r="P4" s="189"/>
      <c r="Q4" s="97"/>
      <c r="R4" s="171"/>
      <c r="S4" s="171"/>
      <c r="T4" s="171"/>
      <c r="U4" s="171"/>
      <c r="V4" s="171"/>
    </row>
    <row r="5" spans="1:22" ht="15.75" customHeight="1" x14ac:dyDescent="0.2">
      <c r="A5" s="98" t="s">
        <v>11</v>
      </c>
      <c r="B5" s="246">
        <f>COUNTIFS('Reviews (by dept)'!F:F,'Annex 2'!A5,'Reviews (by dept)'!D:D,"&lt;&gt;Not graded")</f>
        <v>4</v>
      </c>
      <c r="C5" s="246">
        <f>COUNTIF('Reviews (by dept)'!F:F,'Annex 2'!A5)</f>
        <v>5</v>
      </c>
      <c r="D5" s="123">
        <f>SID!J8</f>
        <v>4657.6407615329626</v>
      </c>
      <c r="E5" s="127">
        <f t="shared" ref="E5:E12" si="0">D5/1000</f>
        <v>4.6576407615329627</v>
      </c>
      <c r="F5" s="123">
        <f>SUMIF('Reviews (by dept)'!$F:$F,$A5,'Reviews (by dept)'!$I:$I)</f>
        <v>746.47900000000004</v>
      </c>
      <c r="G5" s="95">
        <f>SUMIFS('Reviews (by dept)'!$I:$I,'Reviews (by dept)'!$D:$D,G$3,'Reviews (by dept)'!$F:$F,$A5)</f>
        <v>0</v>
      </c>
      <c r="H5" s="95">
        <f>SUMIFS('Reviews (by dept)'!$I:$I,'Reviews (by dept)'!$D:$D,H$3,'Reviews (by dept)'!$F:$F,$A5)</f>
        <v>33.551000000000002</v>
      </c>
      <c r="I5" s="95">
        <f>SUMIFS('Reviews (by dept)'!$I:$I,'Reviews (by dept)'!$D:$D,I$3,'Reviews (by dept)'!$F:$F,$A5)</f>
        <v>122.928</v>
      </c>
      <c r="J5" s="95">
        <f>SUMIFS('Reviews (by dept)'!$I:$I,'Reviews (by dept)'!$D:$D,J$3,'Reviews (by dept)'!$F:$F,$A5)</f>
        <v>0</v>
      </c>
      <c r="K5" s="95">
        <f>SUMIFS('Reviews (by dept)'!$I:$I,'Reviews (by dept)'!$D:$D,K$3,'Reviews (by dept)'!$F:$F,$A5)</f>
        <v>590</v>
      </c>
      <c r="M5" s="183"/>
      <c r="N5" s="97"/>
      <c r="O5" s="189"/>
      <c r="P5" s="189"/>
      <c r="Q5" s="97"/>
      <c r="R5" s="171"/>
      <c r="S5" s="171"/>
      <c r="T5" s="171"/>
      <c r="U5" s="171"/>
      <c r="V5" s="171"/>
    </row>
    <row r="6" spans="1:22" ht="15.75" customHeight="1" x14ac:dyDescent="0.2">
      <c r="A6" s="96" t="s">
        <v>9</v>
      </c>
      <c r="B6" s="246">
        <f>COUNTIFS('Reviews (by dept)'!F:F,'Annex 2'!A6,'Reviews (by dept)'!D:D,"&lt;&gt;Not graded")</f>
        <v>0</v>
      </c>
      <c r="C6" s="246">
        <f>COUNTIF('Reviews (by dept)'!F:F,'Annex 2'!A6)</f>
        <v>1</v>
      </c>
      <c r="D6" s="123">
        <f>SID!J6</f>
        <v>1464.6489745322065</v>
      </c>
      <c r="E6" s="127">
        <f t="shared" si="0"/>
        <v>1.4646489745322064</v>
      </c>
      <c r="F6" s="123">
        <f>SUMIF('Reviews (by dept)'!$F:$F,$A6,'Reviews (by dept)'!$I:$I)</f>
        <v>1300</v>
      </c>
      <c r="G6" s="95">
        <f>SUMIFS('Reviews (by dept)'!$I:$I,'Reviews (by dept)'!$D:$D,G$3,'Reviews (by dept)'!$F:$F,$A6)</f>
        <v>0</v>
      </c>
      <c r="H6" s="95">
        <f>SUMIFS('Reviews (by dept)'!$I:$I,'Reviews (by dept)'!$D:$D,H$3,'Reviews (by dept)'!$F:$F,$A6)</f>
        <v>0</v>
      </c>
      <c r="I6" s="95">
        <f>SUMIFS('Reviews (by dept)'!$I:$I,'Reviews (by dept)'!$D:$D,I$3,'Reviews (by dept)'!$F:$F,$A6)</f>
        <v>0</v>
      </c>
      <c r="J6" s="95">
        <f>SUMIFS('Reviews (by dept)'!$I:$I,'Reviews (by dept)'!$D:$D,J$3,'Reviews (by dept)'!$F:$F,$A6)</f>
        <v>0</v>
      </c>
      <c r="K6" s="95">
        <f>SUMIFS('Reviews (by dept)'!$I:$I,'Reviews (by dept)'!$D:$D,K$3,'Reviews (by dept)'!$F:$F,$A6)</f>
        <v>1300</v>
      </c>
      <c r="M6" s="183"/>
      <c r="N6" s="97"/>
      <c r="O6" s="189"/>
      <c r="P6" s="189"/>
      <c r="Q6" s="97"/>
      <c r="R6" s="171"/>
      <c r="S6" s="171"/>
      <c r="T6" s="171"/>
      <c r="U6" s="171"/>
      <c r="V6" s="171"/>
    </row>
    <row r="7" spans="1:22" ht="15.75" customHeight="1" x14ac:dyDescent="0.2">
      <c r="A7" s="96" t="s">
        <v>67</v>
      </c>
      <c r="B7" s="246">
        <f>COUNTIFS('Reviews (by dept)'!F:F,'Annex 2'!A7,'Reviews (by dept)'!D:D,"&lt;&gt;Not graded")</f>
        <v>1</v>
      </c>
      <c r="C7" s="246">
        <f>COUNTIF('Reviews (by dept)'!F:F,'Annex 2'!A7)</f>
        <v>1</v>
      </c>
      <c r="D7" s="123">
        <f>SID!J5</f>
        <v>1777.3758718650001</v>
      </c>
      <c r="E7" s="127">
        <f t="shared" si="0"/>
        <v>1.7773758718650001</v>
      </c>
      <c r="F7" s="123">
        <f>SUMIF('Reviews (by dept)'!$F:$F,$A7,'Reviews (by dept)'!$I:$I)</f>
        <v>646.92000000000007</v>
      </c>
      <c r="G7" s="95">
        <f>SUMIFS('Reviews (by dept)'!$I:$I,'Reviews (by dept)'!$D:$D,G$3,'Reviews (by dept)'!$F:$F,$A7)</f>
        <v>0</v>
      </c>
      <c r="H7" s="95">
        <f>SUMIFS('Reviews (by dept)'!$I:$I,'Reviews (by dept)'!$D:$D,H$3,'Reviews (by dept)'!$F:$F,$A7)</f>
        <v>646.92000000000007</v>
      </c>
      <c r="I7" s="95">
        <f>SUMIFS('Reviews (by dept)'!$I:$I,'Reviews (by dept)'!$D:$D,I$3,'Reviews (by dept)'!$F:$F,$A7)</f>
        <v>0</v>
      </c>
      <c r="J7" s="95">
        <f>SUMIFS('Reviews (by dept)'!$I:$I,'Reviews (by dept)'!$D:$D,J$3,'Reviews (by dept)'!$F:$F,$A7)</f>
        <v>0</v>
      </c>
      <c r="K7" s="95">
        <f>SUMIFS('Reviews (by dept)'!$I:$I,'Reviews (by dept)'!$D:$D,K$3,'Reviews (by dept)'!$F:$F,$A7)</f>
        <v>0</v>
      </c>
      <c r="M7" s="183"/>
      <c r="N7" s="97"/>
      <c r="O7" s="189"/>
      <c r="P7" s="189"/>
      <c r="Q7" s="97"/>
      <c r="R7" s="171"/>
      <c r="S7" s="171"/>
      <c r="T7" s="171"/>
      <c r="U7" s="171"/>
      <c r="V7" s="171"/>
    </row>
    <row r="8" spans="1:22" ht="15.75" customHeight="1" x14ac:dyDescent="0.2">
      <c r="A8" s="96" t="s">
        <v>13</v>
      </c>
      <c r="B8" s="246">
        <f>COUNTIFS('Reviews (by dept)'!F:F,'Annex 2'!A8,'Reviews (by dept)'!D:D,"&lt;&gt;Not graded")</f>
        <v>1</v>
      </c>
      <c r="C8" s="246">
        <f>COUNTIF('Reviews (by dept)'!F:F,'Annex 2'!A8)</f>
        <v>1</v>
      </c>
      <c r="D8" s="123">
        <f>SID!J9</f>
        <v>1151.4272443584</v>
      </c>
      <c r="E8" s="127">
        <f t="shared" si="0"/>
        <v>1.1514272443583999</v>
      </c>
      <c r="F8" s="123">
        <f>SUMIF('Reviews (by dept)'!$F:$F,$A8,'Reviews (by dept)'!$I:$I)</f>
        <v>0</v>
      </c>
      <c r="G8" s="95">
        <f>SUMIFS('Reviews (by dept)'!$I:$I,'Reviews (by dept)'!$D:$D,G$3,'Reviews (by dept)'!$F:$F,$A8)</f>
        <v>0</v>
      </c>
      <c r="H8" s="95">
        <f>SUMIFS('Reviews (by dept)'!$I:$I,'Reviews (by dept)'!$D:$D,H$3,'Reviews (by dept)'!$F:$F,$A8)</f>
        <v>0</v>
      </c>
      <c r="I8" s="95">
        <f>SUMIFS('Reviews (by dept)'!$I:$I,'Reviews (by dept)'!$D:$D,I$3,'Reviews (by dept)'!$F:$F,$A8)</f>
        <v>0</v>
      </c>
      <c r="J8" s="95">
        <f>SUMIFS('Reviews (by dept)'!$I:$I,'Reviews (by dept)'!$D:$D,J$3,'Reviews (by dept)'!$F:$F,$A8)</f>
        <v>0</v>
      </c>
      <c r="K8" s="95">
        <f>SUMIFS('Reviews (by dept)'!$I:$I,'Reviews (by dept)'!$D:$D,K$3,'Reviews (by dept)'!$F:$F,$A8)</f>
        <v>0</v>
      </c>
      <c r="M8" s="183"/>
      <c r="N8" s="97"/>
      <c r="O8" s="189"/>
      <c r="P8" s="189"/>
      <c r="Q8" s="97"/>
      <c r="R8" s="171"/>
      <c r="S8" s="171"/>
      <c r="T8" s="171"/>
      <c r="U8" s="171"/>
      <c r="V8" s="171"/>
    </row>
    <row r="9" spans="1:22" ht="15.75" customHeight="1" x14ac:dyDescent="0.2">
      <c r="A9" s="96" t="s">
        <v>92</v>
      </c>
      <c r="B9" s="246">
        <f>COUNTIFS('Reviews (by dept)'!F:F,'Annex 2'!A9,'Reviews (by dept)'!D:D,"&lt;&gt;Not graded")</f>
        <v>1</v>
      </c>
      <c r="C9" s="246">
        <f>COUNTIF('Reviews (by dept)'!F:F,'Annex 2'!A9)</f>
        <v>1</v>
      </c>
      <c r="D9" s="123">
        <f>SID!J12</f>
        <v>309.06760730999997</v>
      </c>
      <c r="E9" s="127">
        <f t="shared" si="0"/>
        <v>0.30906760730999999</v>
      </c>
      <c r="F9" s="123">
        <f>SUMIF('Reviews (by dept)'!$F:$F,$A9,'Reviews (by dept)'!$I:$I)</f>
        <v>23.96</v>
      </c>
      <c r="G9" s="95">
        <f>SUMIFS('Reviews (by dept)'!$I:$I,'Reviews (by dept)'!$D:$D,G$3,'Reviews (by dept)'!$F:$F,$A9)</f>
        <v>0</v>
      </c>
      <c r="H9" s="95">
        <f>SUMIFS('Reviews (by dept)'!$I:$I,'Reviews (by dept)'!$D:$D,H$3,'Reviews (by dept)'!$F:$F,$A9)</f>
        <v>23.96</v>
      </c>
      <c r="I9" s="95">
        <f>SUMIFS('Reviews (by dept)'!$I:$I,'Reviews (by dept)'!$D:$D,I$3,'Reviews (by dept)'!$F:$F,$A9)</f>
        <v>0</v>
      </c>
      <c r="J9" s="95">
        <f>SUMIFS('Reviews (by dept)'!$I:$I,'Reviews (by dept)'!$D:$D,J$3,'Reviews (by dept)'!$F:$F,$A9)</f>
        <v>0</v>
      </c>
      <c r="K9" s="95">
        <f>SUMIFS('Reviews (by dept)'!$I:$I,'Reviews (by dept)'!$D:$D,K$3,'Reviews (by dept)'!$F:$F,$A9)</f>
        <v>0</v>
      </c>
      <c r="M9" s="183"/>
      <c r="N9" s="97"/>
      <c r="O9" s="97"/>
      <c r="P9" s="97"/>
      <c r="Q9" s="97"/>
      <c r="R9" s="171"/>
      <c r="S9" s="171"/>
      <c r="T9" s="171"/>
      <c r="U9" s="171"/>
      <c r="V9" s="171"/>
    </row>
    <row r="10" spans="1:22" ht="15.75" customHeight="1" x14ac:dyDescent="0.2">
      <c r="A10" s="96" t="s">
        <v>389</v>
      </c>
      <c r="B10" s="246">
        <f>COUNTIFS('Reviews (by dept)'!F:F,'Annex 2'!A10,'Reviews (by dept)'!D:D,"&lt;&gt;Not graded")</f>
        <v>1</v>
      </c>
      <c r="C10" s="246">
        <f>COUNTIF('Reviews (by dept)'!F:F,'Annex 2'!A10)</f>
        <v>1</v>
      </c>
      <c r="D10" s="123">
        <f>SID!J14</f>
        <v>216.85783859</v>
      </c>
      <c r="E10" s="127">
        <f t="shared" si="0"/>
        <v>0.21685783858999999</v>
      </c>
      <c r="F10" s="123">
        <f>SUMIF('Reviews (by dept)'!$F:$F,$A10,'Reviews (by dept)'!$I:$I)</f>
        <v>411</v>
      </c>
      <c r="G10" s="95">
        <f>SUMIFS('Reviews (by dept)'!$I:$I,'Reviews (by dept)'!$D:$D,G$3,'Reviews (by dept)'!$F:$F,$A10)</f>
        <v>0</v>
      </c>
      <c r="H10" s="95">
        <f>SUMIFS('Reviews (by dept)'!$I:$I,'Reviews (by dept)'!$D:$D,H$3,'Reviews (by dept)'!$F:$F,$A10)</f>
        <v>411</v>
      </c>
      <c r="I10" s="95">
        <f>SUMIFS('Reviews (by dept)'!$I:$I,'Reviews (by dept)'!$D:$D,I$3,'Reviews (by dept)'!$F:$F,$A10)</f>
        <v>0</v>
      </c>
      <c r="J10" s="95">
        <f>SUMIFS('Reviews (by dept)'!$I:$I,'Reviews (by dept)'!$D:$D,J$3,'Reviews (by dept)'!$F:$F,$A10)</f>
        <v>0</v>
      </c>
      <c r="K10" s="95">
        <f>SUMIFS('Reviews (by dept)'!$I:$I,'Reviews (by dept)'!$D:$D,K$3,'Reviews (by dept)'!$F:$F,$A10)</f>
        <v>0</v>
      </c>
      <c r="M10" s="183"/>
      <c r="N10" s="97"/>
      <c r="O10" s="97"/>
      <c r="P10" s="97"/>
      <c r="Q10" s="97"/>
      <c r="R10" s="171"/>
      <c r="S10" s="171"/>
      <c r="T10" s="171"/>
      <c r="U10" s="171"/>
      <c r="V10" s="171"/>
    </row>
    <row r="11" spans="1:22" ht="15.75" customHeight="1" x14ac:dyDescent="0.2">
      <c r="A11" s="96" t="s">
        <v>34</v>
      </c>
      <c r="B11" s="246">
        <f>COUNTIFS('Reviews (by dept)'!F:F,'Annex 2'!A11,'Reviews (by dept)'!D:D,"&lt;&gt;Not graded")</f>
        <v>2</v>
      </c>
      <c r="C11" s="246">
        <f>COUNTIF('Reviews (by dept)'!F:F,'Annex 2'!A11)</f>
        <v>2</v>
      </c>
      <c r="D11" s="123">
        <f>SID!J18</f>
        <v>86.801409565407042</v>
      </c>
      <c r="E11" s="127">
        <f t="shared" si="0"/>
        <v>8.6801409565407037E-2</v>
      </c>
      <c r="F11" s="123">
        <f>SUMIF('Reviews (by dept)'!$F:$F,$A11,'Reviews (by dept)'!$I:$I)</f>
        <v>2.84</v>
      </c>
      <c r="G11" s="95">
        <f>SUMIFS('Reviews (by dept)'!$I:$I,'Reviews (by dept)'!$D:$D,G$3,'Reviews (by dept)'!$F:$F,$A11)</f>
        <v>0</v>
      </c>
      <c r="H11" s="95">
        <f>SUMIFS('Reviews (by dept)'!$I:$I,'Reviews (by dept)'!$D:$D,H$3,'Reviews (by dept)'!$F:$F,$A11)</f>
        <v>0</v>
      </c>
      <c r="I11" s="95">
        <f>SUMIFS('Reviews (by dept)'!$I:$I,'Reviews (by dept)'!$D:$D,I$3,'Reviews (by dept)'!$F:$F,$A11)</f>
        <v>2.84</v>
      </c>
      <c r="J11" s="95">
        <f>SUMIFS('Reviews (by dept)'!$I:$I,'Reviews (by dept)'!$D:$D,J$3,'Reviews (by dept)'!$F:$F,$A11)</f>
        <v>0</v>
      </c>
      <c r="K11" s="95">
        <f>SUMIFS('Reviews (by dept)'!$I:$I,'Reviews (by dept)'!$D:$D,K$3,'Reviews (by dept)'!$F:$F,$A11)</f>
        <v>0</v>
      </c>
      <c r="M11" s="183"/>
      <c r="N11" s="97"/>
      <c r="O11" s="97"/>
      <c r="P11" s="97"/>
      <c r="Q11" s="97"/>
      <c r="R11" s="171"/>
      <c r="S11" s="171"/>
      <c r="T11" s="171"/>
      <c r="U11" s="171"/>
      <c r="V11" s="171"/>
    </row>
    <row r="12" spans="1:22" ht="15.75" customHeight="1" x14ac:dyDescent="0.2">
      <c r="A12" s="98" t="s">
        <v>211</v>
      </c>
      <c r="B12" s="246">
        <f>COUNTIFS('Reviews (by dept)'!F:F,'Annex 2'!A12,'Reviews (by dept)'!D:D,"&lt;&gt;Not graded")</f>
        <v>1</v>
      </c>
      <c r="C12" s="246">
        <f>COUNTIF('Reviews (by dept)'!F:F,'Annex 2'!A12)</f>
        <v>2</v>
      </c>
      <c r="D12" s="123">
        <f>SID!J17</f>
        <v>45.70895719299989</v>
      </c>
      <c r="E12" s="127">
        <f t="shared" si="0"/>
        <v>4.5708957192999888E-2</v>
      </c>
      <c r="F12" s="123">
        <f>SUMIF('Reviews (by dept)'!$F:$F,$A12,'Reviews (by dept)'!$I:$I)</f>
        <v>12.712000000000002</v>
      </c>
      <c r="G12" s="95">
        <f>SUMIFS('Reviews (by dept)'!$I:$I,'Reviews (by dept)'!$D:$D,G$3,'Reviews (by dept)'!$F:$F,$A12)</f>
        <v>0</v>
      </c>
      <c r="H12" s="95">
        <f>SUMIFS('Reviews (by dept)'!$I:$I,'Reviews (by dept)'!$D:$D,H$3,'Reviews (by dept)'!$F:$F,$A12)</f>
        <v>0</v>
      </c>
      <c r="I12" s="95">
        <f>SUMIFS('Reviews (by dept)'!$I:$I,'Reviews (by dept)'!$D:$D,I$3,'Reviews (by dept)'!$F:$F,$A12)</f>
        <v>12.712000000000002</v>
      </c>
      <c r="J12" s="95">
        <f>SUMIFS('Reviews (by dept)'!$I:$I,'Reviews (by dept)'!$D:$D,J$3,'Reviews (by dept)'!$F:$F,$A12)</f>
        <v>0</v>
      </c>
      <c r="K12" s="95">
        <f>SUMIFS('Reviews (by dept)'!$I:$I,'Reviews (by dept)'!$D:$D,K$3,'Reviews (by dept)'!$F:$F,$A12)</f>
        <v>0</v>
      </c>
      <c r="M12" s="183"/>
      <c r="N12" s="97"/>
      <c r="O12" s="97"/>
      <c r="P12" s="97"/>
      <c r="Q12" s="97"/>
      <c r="R12" s="171"/>
      <c r="S12" s="171"/>
      <c r="T12" s="171"/>
      <c r="U12" s="171"/>
      <c r="V12" s="171"/>
    </row>
    <row r="13" spans="1:22" ht="15.75" customHeight="1" x14ac:dyDescent="0.2">
      <c r="A13" s="96" t="s">
        <v>91</v>
      </c>
      <c r="B13" s="98">
        <f>COUNTIF(Table69[Overall Score],"&lt;&gt;Not graded")</f>
        <v>58</v>
      </c>
      <c r="C13" s="246">
        <f>COUNTIF('Reviews (by dept)'!F:F,'Annex 2'!A13)</f>
        <v>0</v>
      </c>
      <c r="D13" s="123">
        <f>SUM(D4:D12)</f>
        <v>82726.984803943487</v>
      </c>
      <c r="E13" s="127">
        <v>82.7</v>
      </c>
      <c r="F13" s="123">
        <f>SUM(Table6[Spending directly evaluated (£m)])</f>
        <v>27832.334522666664</v>
      </c>
      <c r="G13" s="95">
        <f>SUMIF('Reviews (by dept)'!$D:$D,'Annex 2'!G3,'Reviews (by dept)'!$I:$I)</f>
        <v>428.928</v>
      </c>
      <c r="H13" s="95">
        <f>SUMIF('Reviews (by dept)'!$D:$D,'Annex 2'!H3,'Reviews (by dept)'!$I:$I)</f>
        <v>16894.566722666663</v>
      </c>
      <c r="I13" s="95">
        <f>SUMIF('Reviews (by dept)'!$D:$D,'Annex 2'!I3,'Reviews (by dept)'!$I:$I)</f>
        <v>4429.939800000001</v>
      </c>
      <c r="J13" s="95">
        <f>SUMIF('Reviews (by dept)'!$D:$D,'Annex 2'!J3,'Reviews (by dept)'!$I:$I)</f>
        <v>109</v>
      </c>
      <c r="K13" s="95">
        <f>SUMIF('Reviews (by dept)'!$D:$D,'Annex 2'!K3,'Reviews (by dept)'!$I:$I)</f>
        <v>5969.9000000000005</v>
      </c>
      <c r="M13" s="183"/>
      <c r="N13" s="97"/>
      <c r="O13" s="97"/>
      <c r="P13" s="97"/>
      <c r="Q13" s="97"/>
      <c r="R13" s="171"/>
      <c r="S13" s="171"/>
      <c r="T13" s="171"/>
      <c r="U13" s="171"/>
      <c r="V13" s="171"/>
    </row>
    <row r="14" spans="1:22" ht="15.75" customHeight="1" x14ac:dyDescent="0.2">
      <c r="A14" s="96"/>
      <c r="B14" s="98"/>
      <c r="C14" s="98"/>
      <c r="D14" s="123"/>
      <c r="E14" s="123"/>
      <c r="F14" s="123"/>
      <c r="G14" s="127"/>
      <c r="H14" s="123"/>
      <c r="I14" s="95"/>
      <c r="J14" s="95"/>
      <c r="K14" s="95"/>
      <c r="L14" s="95"/>
      <c r="M14" s="95"/>
      <c r="N14" s="116"/>
      <c r="O14" s="95"/>
      <c r="P14" s="97"/>
    </row>
    <row r="15" spans="1:22" ht="15.75" customHeight="1" x14ac:dyDescent="0.2">
      <c r="A15" s="69"/>
      <c r="B15" s="122"/>
      <c r="C15" s="122"/>
      <c r="D15" s="172"/>
      <c r="E15" s="172"/>
      <c r="F15" s="172"/>
      <c r="G15" s="173"/>
      <c r="H15" s="172"/>
      <c r="I15" s="125"/>
      <c r="J15" s="125"/>
      <c r="K15" s="125"/>
      <c r="L15" s="125"/>
      <c r="M15" s="125"/>
      <c r="N15" s="125"/>
      <c r="O15" s="125"/>
      <c r="P15" s="97"/>
    </row>
    <row r="16" spans="1:22" ht="15.75" customHeight="1" x14ac:dyDescent="0.2">
      <c r="A16" s="69" t="s">
        <v>338</v>
      </c>
      <c r="B16" s="122"/>
      <c r="C16" s="122"/>
      <c r="D16" s="122"/>
      <c r="E16" s="122"/>
      <c r="F16" s="122"/>
      <c r="G16" s="97"/>
      <c r="H16" s="125"/>
      <c r="I16" s="125"/>
      <c r="J16" s="174"/>
      <c r="K16" s="125"/>
      <c r="L16" s="174"/>
      <c r="M16" s="125"/>
      <c r="N16" s="97"/>
      <c r="O16" s="97"/>
      <c r="P16" s="97"/>
    </row>
    <row r="17" spans="1:16" ht="51" x14ac:dyDescent="0.2">
      <c r="A17" s="100" t="s">
        <v>209</v>
      </c>
      <c r="B17" s="126" t="str">
        <f>B2</f>
        <v>Number of Graded ICAI reviews</v>
      </c>
      <c r="C17" s="126" t="str">
        <f>D2</f>
        <v>Total ODA spending 2010-2017 (£m)</v>
      </c>
      <c r="D17" s="126" t="str">
        <f>F2</f>
        <v>Total directly evaluated (£m)</v>
      </c>
      <c r="E17" s="126" t="s">
        <v>245</v>
      </c>
      <c r="F17" s="126" t="s">
        <v>382</v>
      </c>
      <c r="G17" s="471" t="str">
        <f>G3</f>
        <v>Green</v>
      </c>
      <c r="H17" s="471"/>
      <c r="I17" s="471" t="str">
        <f>H3</f>
        <v>Green/Amber</v>
      </c>
      <c r="J17" s="471"/>
      <c r="K17" s="471" t="str">
        <f>I3</f>
        <v>Amber/Red</v>
      </c>
      <c r="L17" s="471"/>
      <c r="M17" s="471" t="str">
        <f>J3</f>
        <v>Red</v>
      </c>
      <c r="N17" s="471"/>
      <c r="O17" s="471" t="str">
        <f>K3</f>
        <v>Not graded</v>
      </c>
      <c r="P17" s="471"/>
    </row>
    <row r="18" spans="1:16" ht="15.75" customHeight="1" x14ac:dyDescent="0.2">
      <c r="A18" s="87"/>
      <c r="B18" s="96"/>
      <c r="C18" s="123"/>
      <c r="D18" s="96"/>
      <c r="E18" s="96"/>
      <c r="F18" s="96" t="s">
        <v>383</v>
      </c>
      <c r="G18" s="128" t="s">
        <v>243</v>
      </c>
      <c r="H18" s="128" t="s">
        <v>244</v>
      </c>
      <c r="I18" s="129" t="s">
        <v>243</v>
      </c>
      <c r="J18" s="128" t="s">
        <v>244</v>
      </c>
      <c r="K18" s="129" t="s">
        <v>243</v>
      </c>
      <c r="L18" s="128" t="s">
        <v>244</v>
      </c>
      <c r="M18" s="129" t="s">
        <v>243</v>
      </c>
      <c r="N18" s="128" t="s">
        <v>244</v>
      </c>
      <c r="O18" s="129" t="s">
        <v>243</v>
      </c>
      <c r="P18" s="128" t="s">
        <v>244</v>
      </c>
    </row>
    <row r="19" spans="1:16" ht="15.75" customHeight="1" x14ac:dyDescent="0.2">
      <c r="A19" s="98" t="s">
        <v>12</v>
      </c>
      <c r="B19" s="96">
        <f>B4</f>
        <v>57</v>
      </c>
      <c r="C19" s="123">
        <f t="shared" ref="C19:C28" si="1">D4</f>
        <v>73017.456138996495</v>
      </c>
      <c r="D19" s="123">
        <f t="shared" ref="D19:D27" si="2">F4</f>
        <v>24688.423522666664</v>
      </c>
      <c r="E19" s="123">
        <f>SUMIFS('Reviews (by dept)'!I:I,'Reviews (by dept)'!F:F,'Annex 2'!A19,'Reviews (by dept)'!D:D,"&lt;&gt;Not graded")</f>
        <v>20608.523522666659</v>
      </c>
      <c r="F19" s="189">
        <f>D19/C19</f>
        <v>0.33811673027432815</v>
      </c>
      <c r="G19" s="130">
        <f t="shared" ref="G19:G28" si="3">G4</f>
        <v>428.928</v>
      </c>
      <c r="H19" s="187">
        <f>G19/E19</f>
        <v>2.0813135862364704E-2</v>
      </c>
      <c r="I19" s="130">
        <f>H4</f>
        <v>15779.135722666666</v>
      </c>
      <c r="J19" s="187">
        <f>I19/E19</f>
        <v>0.76566066003281108</v>
      </c>
      <c r="K19" s="130">
        <f t="shared" ref="K19:K28" si="4">I4</f>
        <v>4291.4598000000005</v>
      </c>
      <c r="L19" s="131">
        <f>K19/E19</f>
        <v>0.20823713039315797</v>
      </c>
      <c r="M19" s="130">
        <f t="shared" ref="M19:M28" si="5">J4</f>
        <v>109</v>
      </c>
      <c r="N19" s="131">
        <f>M19/E19</f>
        <v>5.2890737116666493E-3</v>
      </c>
      <c r="O19" s="130">
        <f t="shared" ref="O19:O28" si="6">K4</f>
        <v>4079.9000000000005</v>
      </c>
      <c r="P19" s="131">
        <f>O19/D19</f>
        <v>0.16525559018599173</v>
      </c>
    </row>
    <row r="20" spans="1:16" ht="15.75" customHeight="1" x14ac:dyDescent="0.2">
      <c r="A20" s="98" t="s">
        <v>11</v>
      </c>
      <c r="B20" s="96">
        <f>B5</f>
        <v>4</v>
      </c>
      <c r="C20" s="123">
        <f t="shared" si="1"/>
        <v>4657.6407615329626</v>
      </c>
      <c r="D20" s="123">
        <f t="shared" si="2"/>
        <v>746.47900000000004</v>
      </c>
      <c r="E20" s="123">
        <f>SUMIFS('Reviews (by dept)'!I:I,'Reviews (by dept)'!F:F,'Annex 2'!A20,'Reviews (by dept)'!D:D,"&lt;&gt;Not graded")</f>
        <v>156.47900000000001</v>
      </c>
      <c r="F20" s="189">
        <f t="shared" ref="F20:F28" si="7">D20/C20</f>
        <v>0.1602697670814596</v>
      </c>
      <c r="G20" s="130">
        <f t="shared" si="3"/>
        <v>0</v>
      </c>
      <c r="H20" s="131">
        <f t="shared" ref="H20:H27" si="8">G20/E20</f>
        <v>0</v>
      </c>
      <c r="I20" s="130">
        <f t="shared" ref="I20:I28" si="9">H5</f>
        <v>33.551000000000002</v>
      </c>
      <c r="J20" s="131">
        <f t="shared" ref="J20:J26" si="10">I20/E20</f>
        <v>0.21441215754190657</v>
      </c>
      <c r="K20" s="130">
        <f t="shared" si="4"/>
        <v>122.928</v>
      </c>
      <c r="L20" s="131">
        <f t="shared" ref="L20:L27" si="11">K20/E20</f>
        <v>0.78558784245809332</v>
      </c>
      <c r="M20" s="130">
        <f t="shared" si="5"/>
        <v>0</v>
      </c>
      <c r="N20" s="131">
        <f t="shared" ref="N20:N27" si="12">M20/E20</f>
        <v>0</v>
      </c>
      <c r="O20" s="130">
        <f t="shared" si="6"/>
        <v>590</v>
      </c>
      <c r="P20" s="131">
        <f t="shared" ref="P20:P27" si="13">O20/D20</f>
        <v>0.79037722427556567</v>
      </c>
    </row>
    <row r="21" spans="1:16" ht="15.75" customHeight="1" x14ac:dyDescent="0.2">
      <c r="A21" s="96" t="s">
        <v>9</v>
      </c>
      <c r="B21" s="96">
        <f>B6</f>
        <v>0</v>
      </c>
      <c r="C21" s="123">
        <f t="shared" si="1"/>
        <v>1464.6489745322065</v>
      </c>
      <c r="D21" s="123">
        <f t="shared" si="2"/>
        <v>1300</v>
      </c>
      <c r="E21" s="123">
        <f>SUMIFS('Reviews (by dept)'!I:I,'Reviews (by dept)'!F:F,'Annex 2'!A21,'Reviews (by dept)'!D:D,"&lt;&gt;Not graded")</f>
        <v>0</v>
      </c>
      <c r="F21" s="189">
        <f t="shared" si="7"/>
        <v>0.88758468589049222</v>
      </c>
      <c r="G21" s="130">
        <f t="shared" si="3"/>
        <v>0</v>
      </c>
      <c r="H21" s="132" t="s">
        <v>20</v>
      </c>
      <c r="I21" s="130">
        <f t="shared" si="9"/>
        <v>0</v>
      </c>
      <c r="J21" s="131" t="s">
        <v>20</v>
      </c>
      <c r="K21" s="130">
        <f t="shared" si="4"/>
        <v>0</v>
      </c>
      <c r="L21" s="131" t="s">
        <v>20</v>
      </c>
      <c r="M21" s="130">
        <f t="shared" si="5"/>
        <v>0</v>
      </c>
      <c r="N21" s="131" t="s">
        <v>20</v>
      </c>
      <c r="O21" s="130">
        <f t="shared" si="6"/>
        <v>1300</v>
      </c>
      <c r="P21" s="131">
        <f t="shared" si="13"/>
        <v>1</v>
      </c>
    </row>
    <row r="22" spans="1:16" ht="15.75" customHeight="1" x14ac:dyDescent="0.2">
      <c r="A22" s="96" t="s">
        <v>67</v>
      </c>
      <c r="B22" s="96">
        <f>B7</f>
        <v>1</v>
      </c>
      <c r="C22" s="123">
        <f t="shared" si="1"/>
        <v>1777.3758718650001</v>
      </c>
      <c r="D22" s="123">
        <f t="shared" si="2"/>
        <v>646.92000000000007</v>
      </c>
      <c r="E22" s="123">
        <f>SUMIFS('Reviews (by dept)'!I:I,'Reviews (by dept)'!F:F,'Annex 2'!A22,'Reviews (by dept)'!D:D,"&lt;&gt;Not graded")</f>
        <v>646.92000000000007</v>
      </c>
      <c r="F22" s="189">
        <f t="shared" si="7"/>
        <v>0.36397478453512877</v>
      </c>
      <c r="G22" s="130">
        <f t="shared" si="3"/>
        <v>0</v>
      </c>
      <c r="H22" s="131">
        <f t="shared" si="8"/>
        <v>0</v>
      </c>
      <c r="I22" s="130">
        <f t="shared" si="9"/>
        <v>646.92000000000007</v>
      </c>
      <c r="J22" s="131">
        <f t="shared" si="10"/>
        <v>1</v>
      </c>
      <c r="K22" s="130">
        <f t="shared" si="4"/>
        <v>0</v>
      </c>
      <c r="L22" s="131">
        <f t="shared" si="11"/>
        <v>0</v>
      </c>
      <c r="M22" s="130">
        <f t="shared" si="5"/>
        <v>0</v>
      </c>
      <c r="N22" s="131">
        <f t="shared" si="12"/>
        <v>0</v>
      </c>
      <c r="O22" s="130">
        <f t="shared" si="6"/>
        <v>0</v>
      </c>
      <c r="P22" s="131">
        <f t="shared" si="13"/>
        <v>0</v>
      </c>
    </row>
    <row r="23" spans="1:16" ht="15.75" customHeight="1" x14ac:dyDescent="0.2">
      <c r="A23" s="96" t="s">
        <v>13</v>
      </c>
      <c r="B23" s="96">
        <f>B8</f>
        <v>1</v>
      </c>
      <c r="C23" s="123">
        <f t="shared" si="1"/>
        <v>1151.4272443584</v>
      </c>
      <c r="D23" s="123">
        <f t="shared" si="2"/>
        <v>0</v>
      </c>
      <c r="E23" s="123">
        <f>SUMIFS('Reviews (by dept)'!I:I,'Reviews (by dept)'!F:F,'Annex 2'!A23,'Reviews (by dept)'!D:D,"&lt;&gt;Not graded")</f>
        <v>0</v>
      </c>
      <c r="F23" s="189">
        <f t="shared" si="7"/>
        <v>0</v>
      </c>
      <c r="G23" s="130">
        <f t="shared" si="3"/>
        <v>0</v>
      </c>
      <c r="H23" s="131" t="s">
        <v>20</v>
      </c>
      <c r="I23" s="130">
        <f t="shared" si="9"/>
        <v>0</v>
      </c>
      <c r="J23" s="131" t="s">
        <v>20</v>
      </c>
      <c r="K23" s="130">
        <f t="shared" si="4"/>
        <v>0</v>
      </c>
      <c r="L23" s="131" t="s">
        <v>20</v>
      </c>
      <c r="M23" s="130">
        <f t="shared" si="5"/>
        <v>0</v>
      </c>
      <c r="N23" s="131" t="s">
        <v>20</v>
      </c>
      <c r="O23" s="130">
        <f t="shared" si="6"/>
        <v>0</v>
      </c>
      <c r="P23" s="131" t="s">
        <v>20</v>
      </c>
    </row>
    <row r="24" spans="1:16" ht="15.75" customHeight="1" x14ac:dyDescent="0.2">
      <c r="A24" s="96" t="s">
        <v>92</v>
      </c>
      <c r="B24" s="96">
        <v>1</v>
      </c>
      <c r="C24" s="123">
        <f t="shared" si="1"/>
        <v>309.06760730999997</v>
      </c>
      <c r="D24" s="123">
        <f t="shared" si="2"/>
        <v>23.96</v>
      </c>
      <c r="E24" s="123">
        <f>SUMIFS('Reviews (by dept)'!I:I,'Reviews (by dept)'!F:F,'Annex 2'!A24,'Reviews (by dept)'!D:D,"&lt;&gt;Not graded")</f>
        <v>23.96</v>
      </c>
      <c r="F24" s="189">
        <f t="shared" si="7"/>
        <v>7.7523491408686251E-2</v>
      </c>
      <c r="G24" s="130">
        <f t="shared" si="3"/>
        <v>0</v>
      </c>
      <c r="H24" s="131">
        <f>G24/E24</f>
        <v>0</v>
      </c>
      <c r="I24" s="130">
        <f t="shared" si="9"/>
        <v>23.96</v>
      </c>
      <c r="J24" s="131">
        <f>I24/E24</f>
        <v>1</v>
      </c>
      <c r="K24" s="130">
        <f t="shared" si="4"/>
        <v>0</v>
      </c>
      <c r="L24" s="131">
        <f>K24/E24</f>
        <v>0</v>
      </c>
      <c r="M24" s="130">
        <f t="shared" si="5"/>
        <v>0</v>
      </c>
      <c r="N24" s="131">
        <f>M24/E24</f>
        <v>0</v>
      </c>
      <c r="O24" s="130">
        <f t="shared" si="6"/>
        <v>0</v>
      </c>
      <c r="P24" s="131">
        <f>O24/D24</f>
        <v>0</v>
      </c>
    </row>
    <row r="25" spans="1:16" ht="15.75" customHeight="1" x14ac:dyDescent="0.2">
      <c r="A25" s="96" t="s">
        <v>389</v>
      </c>
      <c r="B25" s="96">
        <f>B10</f>
        <v>1</v>
      </c>
      <c r="C25" s="123">
        <f t="shared" si="1"/>
        <v>216.85783859</v>
      </c>
      <c r="D25" s="123">
        <f t="shared" si="2"/>
        <v>411</v>
      </c>
      <c r="E25" s="123">
        <f>SUMIFS('Reviews (by dept)'!I:I,'Reviews (by dept)'!F:F,'Annex 2'!A25,'Reviews (by dept)'!D:D,"&lt;&gt;Not graded")</f>
        <v>411</v>
      </c>
      <c r="F25" s="189">
        <f t="shared" si="7"/>
        <v>1.8952508365494356</v>
      </c>
      <c r="G25" s="130">
        <f t="shared" si="3"/>
        <v>0</v>
      </c>
      <c r="H25" s="131">
        <f t="shared" si="8"/>
        <v>0</v>
      </c>
      <c r="I25" s="130">
        <f t="shared" si="9"/>
        <v>411</v>
      </c>
      <c r="J25" s="131">
        <f t="shared" si="10"/>
        <v>1</v>
      </c>
      <c r="K25" s="130">
        <f t="shared" si="4"/>
        <v>0</v>
      </c>
      <c r="L25" s="131">
        <f t="shared" si="11"/>
        <v>0</v>
      </c>
      <c r="M25" s="130">
        <f t="shared" si="5"/>
        <v>0</v>
      </c>
      <c r="N25" s="131">
        <f t="shared" si="12"/>
        <v>0</v>
      </c>
      <c r="O25" s="130">
        <f t="shared" si="6"/>
        <v>0</v>
      </c>
      <c r="P25" s="131">
        <f t="shared" si="13"/>
        <v>0</v>
      </c>
    </row>
    <row r="26" spans="1:16" ht="15.75" customHeight="1" x14ac:dyDescent="0.2">
      <c r="A26" s="96" t="s">
        <v>34</v>
      </c>
      <c r="B26" s="96">
        <f>B11</f>
        <v>2</v>
      </c>
      <c r="C26" s="123">
        <f t="shared" si="1"/>
        <v>86.801409565407042</v>
      </c>
      <c r="D26" s="123">
        <f t="shared" si="2"/>
        <v>2.84</v>
      </c>
      <c r="E26" s="123">
        <f>SUMIFS('Reviews (by dept)'!I:I,'Reviews (by dept)'!F:F,'Annex 2'!A26,'Reviews (by dept)'!D:D,"&lt;&gt;Not graded")</f>
        <v>2.84</v>
      </c>
      <c r="F26" s="189">
        <f t="shared" si="7"/>
        <v>3.2718362688108057E-2</v>
      </c>
      <c r="G26" s="130">
        <f t="shared" si="3"/>
        <v>0</v>
      </c>
      <c r="H26" s="131">
        <f t="shared" si="8"/>
        <v>0</v>
      </c>
      <c r="I26" s="130">
        <f t="shared" si="9"/>
        <v>0</v>
      </c>
      <c r="J26" s="131">
        <f t="shared" si="10"/>
        <v>0</v>
      </c>
      <c r="K26" s="130">
        <f t="shared" si="4"/>
        <v>2.84</v>
      </c>
      <c r="L26" s="131">
        <f t="shared" si="11"/>
        <v>1</v>
      </c>
      <c r="M26" s="130">
        <f t="shared" si="5"/>
        <v>0</v>
      </c>
      <c r="N26" s="131">
        <f t="shared" si="12"/>
        <v>0</v>
      </c>
      <c r="O26" s="130">
        <f t="shared" si="6"/>
        <v>0</v>
      </c>
      <c r="P26" s="131">
        <f t="shared" si="13"/>
        <v>0</v>
      </c>
    </row>
    <row r="27" spans="1:16" ht="15.75" customHeight="1" x14ac:dyDescent="0.2">
      <c r="A27" s="98" t="s">
        <v>211</v>
      </c>
      <c r="B27" s="96">
        <f>B12</f>
        <v>1</v>
      </c>
      <c r="C27" s="123">
        <f t="shared" si="1"/>
        <v>45.70895719299989</v>
      </c>
      <c r="D27" s="123">
        <f t="shared" si="2"/>
        <v>12.712000000000002</v>
      </c>
      <c r="E27" s="123">
        <f>SUMIFS('Reviews (by dept)'!I:I,'Reviews (by dept)'!F:F,'Annex 2'!A27,'Reviews (by dept)'!D:D,"&lt;&gt;Not graded")</f>
        <v>12.712000000000002</v>
      </c>
      <c r="F27" s="189">
        <f t="shared" si="7"/>
        <v>0.27810741659069799</v>
      </c>
      <c r="G27" s="130">
        <f t="shared" si="3"/>
        <v>0</v>
      </c>
      <c r="H27" s="131">
        <f t="shared" si="8"/>
        <v>0</v>
      </c>
      <c r="I27" s="130">
        <f t="shared" si="9"/>
        <v>0</v>
      </c>
      <c r="J27" s="131">
        <f>I27/E27</f>
        <v>0</v>
      </c>
      <c r="K27" s="130">
        <f t="shared" si="4"/>
        <v>12.712000000000002</v>
      </c>
      <c r="L27" s="131">
        <f t="shared" si="11"/>
        <v>1</v>
      </c>
      <c r="M27" s="130">
        <f t="shared" si="5"/>
        <v>0</v>
      </c>
      <c r="N27" s="131">
        <f t="shared" si="12"/>
        <v>0</v>
      </c>
      <c r="O27" s="130">
        <f t="shared" si="6"/>
        <v>0</v>
      </c>
      <c r="P27" s="131">
        <f t="shared" si="13"/>
        <v>0</v>
      </c>
    </row>
    <row r="28" spans="1:16" ht="15.75" customHeight="1" x14ac:dyDescent="0.2">
      <c r="A28" s="165" t="s">
        <v>91</v>
      </c>
      <c r="B28" s="165">
        <f>B13</f>
        <v>58</v>
      </c>
      <c r="C28" s="168">
        <f t="shared" si="1"/>
        <v>82726.984803943487</v>
      </c>
      <c r="D28" s="167">
        <f>SUM(D19:D27)</f>
        <v>27832.334522666661</v>
      </c>
      <c r="E28" s="123">
        <f>SUMIF('Reviews (by dept)'!D:D,"&lt;&gt;Not graded",'Reviews (by dept)'!I:I)</f>
        <v>21862.434522666663</v>
      </c>
      <c r="F28" s="189">
        <f t="shared" si="7"/>
        <v>0.33643598384042556</v>
      </c>
      <c r="G28" s="166">
        <f t="shared" si="3"/>
        <v>428.928</v>
      </c>
      <c r="H28" s="131">
        <f>G28/E28</f>
        <v>1.9619406958328155E-2</v>
      </c>
      <c r="I28" s="166">
        <f t="shared" si="9"/>
        <v>16894.566722666663</v>
      </c>
      <c r="J28" s="131">
        <f>I28/E28</f>
        <v>0.77276694437440696</v>
      </c>
      <c r="K28" s="166">
        <f t="shared" si="4"/>
        <v>4429.939800000001</v>
      </c>
      <c r="L28" s="131">
        <f>K28/E28</f>
        <v>0.20262792761744361</v>
      </c>
      <c r="M28" s="166">
        <f t="shared" si="5"/>
        <v>109</v>
      </c>
      <c r="N28" s="175">
        <f>M28/E28</f>
        <v>4.9857210498213426E-3</v>
      </c>
      <c r="O28" s="166">
        <f t="shared" si="6"/>
        <v>5969.9000000000005</v>
      </c>
      <c r="P28" s="131">
        <f>O28/E28</f>
        <v>0.27306656968191229</v>
      </c>
    </row>
    <row r="29" spans="1:16" ht="15.75" customHeight="1" x14ac:dyDescent="0.2">
      <c r="D29" s="183"/>
    </row>
    <row r="30" spans="1:16" ht="15.75" customHeight="1" x14ac:dyDescent="0.2">
      <c r="E30" s="188"/>
      <c r="F30" s="188"/>
      <c r="G30" s="178"/>
      <c r="I30" s="176"/>
      <c r="J30" s="188"/>
      <c r="N30" s="177"/>
    </row>
    <row r="31" spans="1:16" ht="15.75" customHeight="1" x14ac:dyDescent="0.2">
      <c r="E31" s="179"/>
      <c r="F31" s="179"/>
      <c r="G31" s="179"/>
    </row>
    <row r="32" spans="1:16" ht="15.75" customHeight="1" x14ac:dyDescent="0.2">
      <c r="G32" s="179"/>
    </row>
  </sheetData>
  <mergeCells count="6">
    <mergeCell ref="G2:K2"/>
    <mergeCell ref="O17:P17"/>
    <mergeCell ref="G17:H17"/>
    <mergeCell ref="I17:J17"/>
    <mergeCell ref="K17:L17"/>
    <mergeCell ref="M17:N17"/>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C363C-2CF8-4825-80CE-ADCC0B2B454B}">
  <dimension ref="A1:Q29"/>
  <sheetViews>
    <sheetView topLeftCell="A16" workbookViewId="0">
      <selection activeCell="F33" sqref="F33"/>
    </sheetView>
  </sheetViews>
  <sheetFormatPr defaultRowHeight="12.75" x14ac:dyDescent="0.2"/>
  <cols>
    <col min="3" max="3" width="9.85546875" bestFit="1" customWidth="1"/>
    <col min="6" max="6" width="8.7109375" style="266"/>
  </cols>
  <sheetData>
    <row r="1" spans="1:11" s="197" customFormat="1" x14ac:dyDescent="0.2">
      <c r="F1" s="266"/>
    </row>
    <row r="2" spans="1:11" ht="76.5" x14ac:dyDescent="0.2">
      <c r="A2" s="100" t="s">
        <v>209</v>
      </c>
      <c r="B2" s="100" t="s">
        <v>242</v>
      </c>
      <c r="C2" s="100" t="s">
        <v>449</v>
      </c>
      <c r="D2" s="100" t="s">
        <v>450</v>
      </c>
      <c r="E2" s="100" t="s">
        <v>84</v>
      </c>
      <c r="F2" s="450"/>
      <c r="G2" s="472" t="s">
        <v>241</v>
      </c>
      <c r="H2" s="473"/>
      <c r="I2" s="473"/>
      <c r="J2" s="473"/>
      <c r="K2" s="474"/>
    </row>
    <row r="3" spans="1:11" ht="25.5" x14ac:dyDescent="0.2">
      <c r="A3" s="99"/>
      <c r="B3" s="99"/>
      <c r="C3" s="99"/>
      <c r="D3" s="100"/>
      <c r="E3" s="99"/>
      <c r="F3" s="99"/>
      <c r="G3" s="100" t="s">
        <v>27</v>
      </c>
      <c r="H3" s="100" t="s">
        <v>7</v>
      </c>
      <c r="I3" s="100" t="s">
        <v>16</v>
      </c>
      <c r="J3" s="100" t="s">
        <v>21</v>
      </c>
      <c r="K3" s="100" t="s">
        <v>63</v>
      </c>
    </row>
    <row r="4" spans="1:11" x14ac:dyDescent="0.2">
      <c r="A4" s="98" t="s">
        <v>12</v>
      </c>
      <c r="B4" s="98">
        <f>'Annex 2'!B4</f>
        <v>57</v>
      </c>
      <c r="C4" s="123">
        <f>'Annex 2'!D4</f>
        <v>73017.456138996495</v>
      </c>
      <c r="D4" s="190">
        <v>72.900000000000006</v>
      </c>
      <c r="E4" s="123">
        <f>SUMIF('Reviews (by dept)'!$F:$F,$A4,'Reviews (by dept)'!$G:$G)</f>
        <v>55900.871133333341</v>
      </c>
      <c r="F4" s="123"/>
      <c r="G4" s="95">
        <f>SUMIFS('Reviews (by dept)'!$G:$G,'Reviews (by dept)'!$D:$D,G$3,'Reviews (by dept)'!$F:$F,$A4)</f>
        <v>428.928</v>
      </c>
      <c r="H4" s="95">
        <f>SUMIFS('Reviews (by dept)'!$G:$G,'Reviews (by dept)'!$D:$D,H$3,'Reviews (by dept)'!$F:$F,$A4)</f>
        <v>39188.700000000004</v>
      </c>
      <c r="I4" s="95">
        <f>SUMIFS('Reviews (by dept)'!$G:$G,'Reviews (by dept)'!$D:$D,I$3,'Reviews (by dept)'!$F:$F,$A4)</f>
        <v>11246.043133333333</v>
      </c>
      <c r="J4" s="95">
        <f>SUMIFS('Reviews (by dept)'!$G:$G,'Reviews (by dept)'!$D:$D,J$3,'Reviews (by dept)'!$F:$F,$A4)</f>
        <v>109</v>
      </c>
      <c r="K4" s="95">
        <f>SUMIFS('Reviews (by dept)'!$G:$G,'Reviews (by dept)'!$D:$D,K$3,'Reviews (by dept)'!$F:$F,$A4)</f>
        <v>4928.2000000000007</v>
      </c>
    </row>
    <row r="5" spans="1:11" x14ac:dyDescent="0.2">
      <c r="A5" s="98" t="s">
        <v>11</v>
      </c>
      <c r="B5" s="98">
        <f>'Annex 2'!B5</f>
        <v>4</v>
      </c>
      <c r="C5" s="123">
        <f>'Annex 2'!D5</f>
        <v>4657.6407615329626</v>
      </c>
      <c r="D5" s="190">
        <v>4.2</v>
      </c>
      <c r="E5" s="123">
        <f>SUMIF('Reviews (by dept)'!$F:$F,$A5,'Reviews (by dept)'!$G:$G)</f>
        <v>1986.8999999999999</v>
      </c>
      <c r="F5" s="123"/>
      <c r="G5" s="95">
        <f>SUMIFS('Reviews (by dept)'!$G:$G,'Reviews (by dept)'!$D:$D,G$3,'Reviews (by dept)'!$F:$F,$A5)</f>
        <v>0</v>
      </c>
      <c r="H5" s="95">
        <f>SUMIFS('Reviews (by dept)'!$G:$G,'Reviews (by dept)'!$D:$D,H$3,'Reviews (by dept)'!$F:$F,$A5)</f>
        <v>99.4</v>
      </c>
      <c r="I5" s="95">
        <f>SUMIFS('Reviews (by dept)'!$G:$G,'Reviews (by dept)'!$D:$D,I$3,'Reviews (by dept)'!$F:$F,$A5)</f>
        <v>779.2</v>
      </c>
      <c r="J5" s="95">
        <f>SUMIFS('Reviews (by dept)'!$G:$G,'Reviews (by dept)'!$D:$D,J$3,'Reviews (by dept)'!$F:$F,$A5)</f>
        <v>0</v>
      </c>
      <c r="K5" s="95">
        <f>SUMIFS('Reviews (by dept)'!$G:$G,'Reviews (by dept)'!$D:$D,K$3,'Reviews (by dept)'!$F:$F,$A5)</f>
        <v>1108.3</v>
      </c>
    </row>
    <row r="6" spans="1:11" x14ac:dyDescent="0.2">
      <c r="A6" s="96" t="s">
        <v>9</v>
      </c>
      <c r="B6" s="98">
        <f>'Annex 2'!B6</f>
        <v>0</v>
      </c>
      <c r="C6" s="123">
        <f>'Annex 2'!D6</f>
        <v>1464.6489745322065</v>
      </c>
      <c r="D6" s="190">
        <v>2</v>
      </c>
      <c r="E6" s="123">
        <f>SUMIF('Reviews (by dept)'!$F:$F,$A6,'Reviews (by dept)'!$G:$G)</f>
        <v>1500</v>
      </c>
      <c r="F6" s="123"/>
      <c r="G6" s="95">
        <f>SUMIFS('Reviews (by dept)'!$G:$G,'Reviews (by dept)'!$D:$D,G$3,'Reviews (by dept)'!$F:$F,$A6)</f>
        <v>0</v>
      </c>
      <c r="H6" s="95">
        <f>SUMIFS('Reviews (by dept)'!$G:$G,'Reviews (by dept)'!$D:$D,H$3,'Reviews (by dept)'!$F:$F,$A6)</f>
        <v>0</v>
      </c>
      <c r="I6" s="95">
        <f>SUMIFS('Reviews (by dept)'!$G:$G,'Reviews (by dept)'!$D:$D,I$3,'Reviews (by dept)'!$F:$F,$A6)</f>
        <v>0</v>
      </c>
      <c r="J6" s="95">
        <f>SUMIFS('Reviews (by dept)'!$G:$G,'Reviews (by dept)'!$D:$D,J$3,'Reviews (by dept)'!$F:$F,$A6)</f>
        <v>0</v>
      </c>
      <c r="K6" s="95">
        <f>SUMIFS('Reviews (by dept)'!$G:$G,'Reviews (by dept)'!$D:$D,K$3,'Reviews (by dept)'!$F:$F,$A6)</f>
        <v>1500</v>
      </c>
    </row>
    <row r="7" spans="1:11" x14ac:dyDescent="0.2">
      <c r="A7" s="96" t="s">
        <v>67</v>
      </c>
      <c r="B7" s="98">
        <f>'Annex 2'!B7</f>
        <v>1</v>
      </c>
      <c r="C7" s="123">
        <f>'Annex 2'!D7</f>
        <v>1777.3758718650001</v>
      </c>
      <c r="D7" s="190">
        <v>1.3</v>
      </c>
      <c r="E7" s="123">
        <f>SUMIF('Reviews (by dept)'!$F:$F,$A7,'Reviews (by dept)'!$G:$G)</f>
        <v>1250</v>
      </c>
      <c r="F7" s="123"/>
      <c r="G7" s="95">
        <f>SUMIFS('Reviews (by dept)'!$G:$G,'Reviews (by dept)'!$D:$D,G$3,'Reviews (by dept)'!$F:$F,$A7)</f>
        <v>0</v>
      </c>
      <c r="H7" s="95">
        <f>SUMIFS('Reviews (by dept)'!$G:$G,'Reviews (by dept)'!$D:$D,H$3,'Reviews (by dept)'!$F:$F,$A7)</f>
        <v>1250</v>
      </c>
      <c r="I7" s="95">
        <f>SUMIFS('Reviews (by dept)'!$G:$G,'Reviews (by dept)'!$D:$D,I$3,'Reviews (by dept)'!$F:$F,$A7)</f>
        <v>0</v>
      </c>
      <c r="J7" s="95">
        <f>SUMIFS('Reviews (by dept)'!$G:$G,'Reviews (by dept)'!$D:$D,J$3,'Reviews (by dept)'!$F:$F,$A7)</f>
        <v>0</v>
      </c>
      <c r="K7" s="95">
        <f>SUMIFS('Reviews (by dept)'!$G:$G,'Reviews (by dept)'!$D:$D,K$3,'Reviews (by dept)'!$F:$F,$A7)</f>
        <v>0</v>
      </c>
    </row>
    <row r="8" spans="1:11" x14ac:dyDescent="0.2">
      <c r="A8" s="96" t="s">
        <v>13</v>
      </c>
      <c r="B8" s="98">
        <f>'Annex 2'!B8</f>
        <v>1</v>
      </c>
      <c r="C8" s="123">
        <f>'Annex 2'!D8</f>
        <v>1151.4272443584</v>
      </c>
      <c r="D8" s="190">
        <v>1.1000000000000001</v>
      </c>
      <c r="E8" s="123">
        <f>SUMIF('Reviews (by dept)'!$F:$F,$A8,'Reviews (by dept)'!$G:$G)</f>
        <v>17.7</v>
      </c>
      <c r="F8" s="123"/>
      <c r="G8" s="95">
        <f>SUMIFS('Reviews (by dept)'!$G:$G,'Reviews (by dept)'!$D:$D,G$3,'Reviews (by dept)'!$F:$F,$A8)</f>
        <v>0</v>
      </c>
      <c r="H8" s="95">
        <f>SUMIFS('Reviews (by dept)'!$G:$G,'Reviews (by dept)'!$D:$D,H$3,'Reviews (by dept)'!$F:$F,$A8)</f>
        <v>0</v>
      </c>
      <c r="I8" s="95">
        <f>SUMIFS('Reviews (by dept)'!$G:$G,'Reviews (by dept)'!$D:$D,I$3,'Reviews (by dept)'!$F:$F,$A8)</f>
        <v>17.7</v>
      </c>
      <c r="J8" s="95">
        <f>SUMIFS('Reviews (by dept)'!$G:$G,'Reviews (by dept)'!$D:$D,J$3,'Reviews (by dept)'!$F:$F,$A8)</f>
        <v>0</v>
      </c>
      <c r="K8" s="95">
        <f>SUMIFS('Reviews (by dept)'!$G:$G,'Reviews (by dept)'!$D:$D,K$3,'Reviews (by dept)'!$F:$F,$A8)</f>
        <v>0</v>
      </c>
    </row>
    <row r="9" spans="1:11" x14ac:dyDescent="0.2">
      <c r="A9" s="96" t="s">
        <v>92</v>
      </c>
      <c r="B9" s="98">
        <f>'Annex 2'!B9</f>
        <v>1</v>
      </c>
      <c r="C9" s="123">
        <f>'Annex 2'!D9</f>
        <v>309.06760730999997</v>
      </c>
      <c r="D9" s="190">
        <v>0.3</v>
      </c>
      <c r="E9" s="123">
        <f>SUMIF('Reviews (by dept)'!$F:$F,$A9,'Reviews (by dept)'!$G:$G)</f>
        <v>140</v>
      </c>
      <c r="F9" s="123"/>
      <c r="G9" s="95">
        <f>SUMIFS('Reviews (by dept)'!$G:$G,'Reviews (by dept)'!$D:$D,G$3,'Reviews (by dept)'!$F:$F,$A9)</f>
        <v>0</v>
      </c>
      <c r="H9" s="95">
        <f>SUMIFS('Reviews (by dept)'!$G:$G,'Reviews (by dept)'!$D:$D,H$3,'Reviews (by dept)'!$F:$F,$A9)</f>
        <v>140</v>
      </c>
      <c r="I9" s="95">
        <f>SUMIFS('Reviews (by dept)'!$G:$G,'Reviews (by dept)'!$D:$D,I$3,'Reviews (by dept)'!$F:$F,$A9)</f>
        <v>0</v>
      </c>
      <c r="J9" s="95">
        <f>SUMIFS('Reviews (by dept)'!$G:$G,'Reviews (by dept)'!$D:$D,J$3,'Reviews (by dept)'!$F:$F,$A9)</f>
        <v>0</v>
      </c>
      <c r="K9" s="95">
        <f>SUMIFS('Reviews (by dept)'!$G:$G,'Reviews (by dept)'!$D:$D,K$3,'Reviews (by dept)'!$F:$F,$A9)</f>
        <v>0</v>
      </c>
    </row>
    <row r="10" spans="1:11" x14ac:dyDescent="0.2">
      <c r="A10" s="96" t="s">
        <v>389</v>
      </c>
      <c r="B10" s="98">
        <f>'Annex 2'!B10</f>
        <v>1</v>
      </c>
      <c r="C10" s="123">
        <f>'Annex 2'!D10</f>
        <v>216.85783859</v>
      </c>
      <c r="D10" s="190">
        <v>0.2</v>
      </c>
      <c r="E10" s="123">
        <f>SUMIF('Reviews (by dept)'!$F:$F,$A10,'Reviews (by dept)'!$G:$G)</f>
        <v>477</v>
      </c>
      <c r="F10" s="123"/>
      <c r="G10" s="95">
        <f>SUMIFS('Reviews (by dept)'!$G:$G,'Reviews (by dept)'!$D:$D,G$3,'Reviews (by dept)'!$F:$F,$A10)</f>
        <v>0</v>
      </c>
      <c r="H10" s="95">
        <f>SUMIFS('Reviews (by dept)'!$G:$G,'Reviews (by dept)'!$D:$D,H$3,'Reviews (by dept)'!$F:$F,$A10)</f>
        <v>477</v>
      </c>
      <c r="I10" s="95">
        <f>SUMIFS('Reviews (by dept)'!$G:$G,'Reviews (by dept)'!$D:$D,I$3,'Reviews (by dept)'!$F:$F,$A10)</f>
        <v>0</v>
      </c>
      <c r="J10" s="95">
        <f>SUMIFS('Reviews (by dept)'!$G:$G,'Reviews (by dept)'!$D:$D,J$3,'Reviews (by dept)'!$F:$F,$A10)</f>
        <v>0</v>
      </c>
      <c r="K10" s="95">
        <f>SUMIFS('Reviews (by dept)'!$G:$G,'Reviews (by dept)'!$D:$D,K$3,'Reviews (by dept)'!$F:$F,$A10)</f>
        <v>0</v>
      </c>
    </row>
    <row r="11" spans="1:11" x14ac:dyDescent="0.2">
      <c r="A11" s="96" t="s">
        <v>34</v>
      </c>
      <c r="B11" s="98">
        <f>'Annex 2'!B11</f>
        <v>2</v>
      </c>
      <c r="C11" s="123">
        <f>'Annex 2'!D11</f>
        <v>86.801409565407042</v>
      </c>
      <c r="D11" s="190">
        <v>0.1</v>
      </c>
      <c r="E11" s="123">
        <f>SUMIF('Reviews (by dept)'!$F:$F,$A11,'Reviews (by dept)'!$G:$G)</f>
        <v>27</v>
      </c>
      <c r="F11" s="123"/>
      <c r="G11" s="95">
        <f>SUMIFS('Reviews (by dept)'!$G:$G,'Reviews (by dept)'!$D:$D,G$3,'Reviews (by dept)'!$F:$F,$A11)</f>
        <v>0</v>
      </c>
      <c r="H11" s="95">
        <f>SUMIFS('Reviews (by dept)'!$G:$G,'Reviews (by dept)'!$D:$D,H$3,'Reviews (by dept)'!$F:$F,$A11)</f>
        <v>0</v>
      </c>
      <c r="I11" s="95">
        <f>SUMIFS('Reviews (by dept)'!$G:$G,'Reviews (by dept)'!$D:$D,I$3,'Reviews (by dept)'!$F:$F,$A11)</f>
        <v>27</v>
      </c>
      <c r="J11" s="95">
        <f>SUMIFS('Reviews (by dept)'!$G:$G,'Reviews (by dept)'!$D:$D,J$3,'Reviews (by dept)'!$F:$F,$A11)</f>
        <v>0</v>
      </c>
      <c r="K11" s="95">
        <f>SUMIFS('Reviews (by dept)'!$G:$G,'Reviews (by dept)'!$D:$D,K$3,'Reviews (by dept)'!$F:$F,$A11)</f>
        <v>0</v>
      </c>
    </row>
    <row r="12" spans="1:11" x14ac:dyDescent="0.2">
      <c r="A12" s="98" t="s">
        <v>211</v>
      </c>
      <c r="B12" s="98">
        <f>'Annex 2'!B12</f>
        <v>1</v>
      </c>
      <c r="C12" s="123">
        <f>'Annex 2'!D12</f>
        <v>45.70895719299989</v>
      </c>
      <c r="D12" s="190">
        <v>4.4999999999999998E-2</v>
      </c>
      <c r="E12" s="123">
        <f>SUMIF('Reviews (by dept)'!$F:$F,$A12,'Reviews (by dept)'!$G:$G)</f>
        <v>25.1</v>
      </c>
      <c r="F12" s="123"/>
      <c r="G12" s="95">
        <f>SUMIFS('Reviews (by dept)'!$G:$G,'Reviews (by dept)'!$D:$D,G$3,'Reviews (by dept)'!$F:$F,$A12)</f>
        <v>0</v>
      </c>
      <c r="H12" s="95">
        <f>SUMIFS('Reviews (by dept)'!$G:$G,'Reviews (by dept)'!$D:$D,H$3,'Reviews (by dept)'!$F:$F,$A12)</f>
        <v>0</v>
      </c>
      <c r="I12" s="95">
        <f>SUMIFS('Reviews (by dept)'!$G:$G,'Reviews (by dept)'!$D:$D,I$3,'Reviews (by dept)'!$F:$F,$A12)</f>
        <v>25.1</v>
      </c>
      <c r="J12" s="95">
        <f>SUMIFS('Reviews (by dept)'!$G:$G,'Reviews (by dept)'!$D:$D,J$3,'Reviews (by dept)'!$F:$F,$A12)</f>
        <v>0</v>
      </c>
      <c r="K12" s="95">
        <f>SUMIFS('Reviews (by dept)'!$G:$G,'Reviews (by dept)'!$D:$D,K$3,'Reviews (by dept)'!$F:$F,$A12)</f>
        <v>0</v>
      </c>
    </row>
    <row r="13" spans="1:11" x14ac:dyDescent="0.2">
      <c r="A13" s="96" t="s">
        <v>91</v>
      </c>
      <c r="B13" s="98">
        <f>'Annex 2'!B13</f>
        <v>58</v>
      </c>
      <c r="C13" s="123">
        <f>SUM(C4:C12)</f>
        <v>82726.984803943487</v>
      </c>
      <c r="D13" s="190">
        <v>82.7</v>
      </c>
      <c r="E13" s="123">
        <f>SUM(Table6[Spending directly evaluated (£m)])</f>
        <v>27832.334522666664</v>
      </c>
      <c r="F13" s="123"/>
      <c r="G13" s="95">
        <f>SUM(G4:G12)</f>
        <v>428.928</v>
      </c>
      <c r="H13" s="95">
        <f t="shared" ref="H13:K13" si="0">SUM(H4:H12)</f>
        <v>41155.100000000006</v>
      </c>
      <c r="I13" s="95">
        <f t="shared" si="0"/>
        <v>12095.043133333334</v>
      </c>
      <c r="J13" s="95">
        <f t="shared" si="0"/>
        <v>109</v>
      </c>
      <c r="K13" s="95">
        <f t="shared" si="0"/>
        <v>7536.5000000000009</v>
      </c>
    </row>
    <row r="14" spans="1:11" x14ac:dyDescent="0.2">
      <c r="A14" s="96"/>
      <c r="B14" s="98"/>
      <c r="C14" s="98"/>
      <c r="D14" s="123"/>
      <c r="E14" s="123"/>
      <c r="F14" s="123"/>
      <c r="G14" s="123"/>
      <c r="H14" s="127"/>
      <c r="I14" s="123"/>
      <c r="J14" s="95"/>
      <c r="K14" s="95"/>
    </row>
    <row r="17" spans="1:17" x14ac:dyDescent="0.2">
      <c r="A17" s="69" t="s">
        <v>399</v>
      </c>
      <c r="B17" s="122"/>
      <c r="C17" s="122"/>
      <c r="D17" s="122"/>
      <c r="E17" s="122"/>
      <c r="F17" s="122"/>
      <c r="G17" s="122"/>
      <c r="H17" s="97"/>
      <c r="I17" s="125"/>
      <c r="J17" s="125"/>
      <c r="K17" s="174"/>
    </row>
    <row r="18" spans="1:17" ht="51" x14ac:dyDescent="0.2">
      <c r="A18" s="100" t="s">
        <v>209</v>
      </c>
      <c r="B18" s="126" t="str">
        <f>B2</f>
        <v>Graded reviews</v>
      </c>
      <c r="C18" s="126" t="str">
        <f>C2</f>
        <v>Total ODA spending 2010-2017 (£m)</v>
      </c>
      <c r="D18" s="126" t="str">
        <f>E2</f>
        <v>Total spending reviewed (£m)</v>
      </c>
      <c r="E18" s="126" t="s">
        <v>245</v>
      </c>
      <c r="F18" s="126"/>
      <c r="G18" s="126" t="s">
        <v>398</v>
      </c>
      <c r="H18" s="471" t="str">
        <f>G3</f>
        <v>Green</v>
      </c>
      <c r="I18" s="471"/>
      <c r="J18" s="471" t="str">
        <f>H3</f>
        <v>Green/Amber</v>
      </c>
      <c r="K18" s="471"/>
      <c r="L18" s="471" t="str">
        <f>I3</f>
        <v>Amber/Red</v>
      </c>
      <c r="M18" s="471"/>
      <c r="N18" s="471" t="str">
        <f>J3</f>
        <v>Red</v>
      </c>
      <c r="O18" s="471"/>
      <c r="P18" s="471" t="str">
        <f>K3</f>
        <v>Not graded</v>
      </c>
      <c r="Q18" s="471"/>
    </row>
    <row r="19" spans="1:17" x14ac:dyDescent="0.2">
      <c r="A19" s="87"/>
      <c r="B19" s="256"/>
      <c r="C19" s="257"/>
      <c r="D19" s="256"/>
      <c r="E19" s="256"/>
      <c r="F19" s="256"/>
      <c r="G19" s="256" t="s">
        <v>383</v>
      </c>
      <c r="H19" s="264" t="s">
        <v>243</v>
      </c>
      <c r="I19" s="264" t="s">
        <v>244</v>
      </c>
      <c r="J19" s="133" t="s">
        <v>243</v>
      </c>
      <c r="K19" s="264" t="s">
        <v>244</v>
      </c>
      <c r="L19" s="133" t="s">
        <v>243</v>
      </c>
      <c r="M19" s="264" t="s">
        <v>244</v>
      </c>
      <c r="N19" s="133" t="s">
        <v>243</v>
      </c>
      <c r="O19" s="264" t="s">
        <v>244</v>
      </c>
      <c r="P19" s="133" t="s">
        <v>243</v>
      </c>
      <c r="Q19" s="264" t="s">
        <v>244</v>
      </c>
    </row>
    <row r="20" spans="1:17" x14ac:dyDescent="0.2">
      <c r="A20" s="98" t="s">
        <v>12</v>
      </c>
      <c r="B20" s="256">
        <f>B4</f>
        <v>57</v>
      </c>
      <c r="C20" s="257">
        <f t="shared" ref="B20:C24" si="1">C4</f>
        <v>73017.456138996495</v>
      </c>
      <c r="D20" s="257">
        <f t="shared" ref="D20:D28" si="2">E4</f>
        <v>55900.871133333341</v>
      </c>
      <c r="E20" s="257">
        <f>SUMIFS('Reviews (by dept)'!G:G,'Reviews (by dept)'!F:F,'Annex 2'!A19,'Reviews (by dept)'!D:D,"&lt;&gt;Not graded")</f>
        <v>50972.671133333337</v>
      </c>
      <c r="F20" s="257"/>
      <c r="G20" s="258">
        <f>D20/C20</f>
        <v>0.76558228797946737</v>
      </c>
      <c r="H20" s="214">
        <f t="shared" ref="H20:H28" si="3">G4</f>
        <v>428.928</v>
      </c>
      <c r="I20" s="259">
        <f>H20/E20</f>
        <v>8.4148621302975925E-3</v>
      </c>
      <c r="J20" s="457">
        <f t="shared" ref="J20:J29" si="4">H4</f>
        <v>39188.700000000004</v>
      </c>
      <c r="K20" s="259">
        <f>J20/E20</f>
        <v>0.76881786119253892</v>
      </c>
      <c r="L20" s="166">
        <f>I4</f>
        <v>11246.043133333333</v>
      </c>
      <c r="M20" s="200">
        <f>L20/E20</f>
        <v>0.22062887589147817</v>
      </c>
      <c r="N20" s="166">
        <f>J4</f>
        <v>109</v>
      </c>
      <c r="O20" s="200">
        <f>N20/E20</f>
        <v>2.138400785685331E-3</v>
      </c>
      <c r="P20" s="166">
        <f t="shared" ref="P20:P29" si="5">K4</f>
        <v>4928.2000000000007</v>
      </c>
      <c r="Q20" s="200">
        <f>P20/D20</f>
        <v>8.815962792861283E-2</v>
      </c>
    </row>
    <row r="21" spans="1:17" x14ac:dyDescent="0.2">
      <c r="A21" s="98" t="s">
        <v>11</v>
      </c>
      <c r="B21" s="256">
        <f t="shared" si="1"/>
        <v>4</v>
      </c>
      <c r="C21" s="257">
        <f t="shared" si="1"/>
        <v>4657.6407615329626</v>
      </c>
      <c r="D21" s="257">
        <f t="shared" si="2"/>
        <v>1986.8999999999999</v>
      </c>
      <c r="E21" s="257">
        <f>SUMIFS('Reviews (by dept)'!G:G,'Reviews (by dept)'!F:F,'Annex 2'!A20,'Reviews (by dept)'!D:D,"&lt;&gt;Not graded")</f>
        <v>878.6</v>
      </c>
      <c r="F21" s="257"/>
      <c r="G21" s="258">
        <f t="shared" ref="G21:G28" si="6">D21/C21</f>
        <v>0.42658936180944412</v>
      </c>
      <c r="H21" s="214">
        <f t="shared" si="3"/>
        <v>0</v>
      </c>
      <c r="I21" s="260">
        <f t="shared" ref="I21:I28" si="7">H21/E21</f>
        <v>0</v>
      </c>
      <c r="J21" s="457">
        <f t="shared" si="4"/>
        <v>99.4</v>
      </c>
      <c r="K21" s="260">
        <f t="shared" ref="K21:K27" si="8">J21/E21</f>
        <v>0.11313453221033462</v>
      </c>
      <c r="L21" s="166">
        <f t="shared" ref="L21:L29" si="9">I5</f>
        <v>779.2</v>
      </c>
      <c r="M21" s="200">
        <f t="shared" ref="M21:M29" si="10">L21/E21</f>
        <v>0.88686546778966535</v>
      </c>
      <c r="N21" s="166">
        <f t="shared" ref="N21:N29" si="11">J5</f>
        <v>0</v>
      </c>
      <c r="O21" s="200">
        <f t="shared" ref="O21:O29" si="12">N21/E21</f>
        <v>0</v>
      </c>
      <c r="P21" s="166">
        <f t="shared" si="5"/>
        <v>1108.3</v>
      </c>
      <c r="Q21" s="200">
        <f t="shared" ref="Q21:Q29" si="13">P21/D21</f>
        <v>0.55780361366953546</v>
      </c>
    </row>
    <row r="22" spans="1:17" x14ac:dyDescent="0.2">
      <c r="A22" s="96" t="s">
        <v>9</v>
      </c>
      <c r="B22" s="256">
        <f t="shared" si="1"/>
        <v>0</v>
      </c>
      <c r="C22" s="257">
        <f t="shared" si="1"/>
        <v>1464.6489745322065</v>
      </c>
      <c r="D22" s="257">
        <f t="shared" si="2"/>
        <v>1500</v>
      </c>
      <c r="E22" s="257">
        <f>SUMIFS('Reviews (by dept)'!G:G,'Reviews (by dept)'!F:F,'Annex 2'!A21,'Reviews (by dept)'!D:D,"&lt;&gt;Not graded")</f>
        <v>0</v>
      </c>
      <c r="F22" s="257"/>
      <c r="G22" s="258">
        <f t="shared" si="6"/>
        <v>1.024136176027491</v>
      </c>
      <c r="H22" s="214">
        <f t="shared" si="3"/>
        <v>0</v>
      </c>
      <c r="I22" s="261" t="s">
        <v>20</v>
      </c>
      <c r="J22" s="457">
        <f t="shared" si="4"/>
        <v>0</v>
      </c>
      <c r="K22" s="260" t="s">
        <v>20</v>
      </c>
      <c r="L22" s="166">
        <f t="shared" si="9"/>
        <v>0</v>
      </c>
      <c r="M22" s="200">
        <v>0</v>
      </c>
      <c r="N22" s="166">
        <f t="shared" si="11"/>
        <v>0</v>
      </c>
      <c r="O22" s="200">
        <v>0</v>
      </c>
      <c r="P22" s="166">
        <f t="shared" si="5"/>
        <v>1500</v>
      </c>
      <c r="Q22" s="200">
        <f t="shared" si="13"/>
        <v>1</v>
      </c>
    </row>
    <row r="23" spans="1:17" x14ac:dyDescent="0.2">
      <c r="A23" s="96" t="s">
        <v>67</v>
      </c>
      <c r="B23" s="256">
        <f t="shared" si="1"/>
        <v>1</v>
      </c>
      <c r="C23" s="257">
        <f t="shared" si="1"/>
        <v>1777.3758718650001</v>
      </c>
      <c r="D23" s="257">
        <f t="shared" si="2"/>
        <v>1250</v>
      </c>
      <c r="E23" s="257">
        <f>SUMIFS('Reviews (by dept)'!G:G,'Reviews (by dept)'!F:F,'Annex 2'!A22,'Reviews (by dept)'!D:D,"&lt;&gt;Not graded")</f>
        <v>1250</v>
      </c>
      <c r="F23" s="257"/>
      <c r="G23" s="258">
        <f t="shared" si="6"/>
        <v>0.70328399287224219</v>
      </c>
      <c r="H23" s="214">
        <f t="shared" si="3"/>
        <v>0</v>
      </c>
      <c r="I23" s="260">
        <f t="shared" si="7"/>
        <v>0</v>
      </c>
      <c r="J23" s="457">
        <f t="shared" si="4"/>
        <v>1250</v>
      </c>
      <c r="K23" s="260">
        <f t="shared" si="8"/>
        <v>1</v>
      </c>
      <c r="L23" s="166">
        <f t="shared" si="9"/>
        <v>0</v>
      </c>
      <c r="M23" s="200">
        <f t="shared" si="10"/>
        <v>0</v>
      </c>
      <c r="N23" s="166">
        <f t="shared" si="11"/>
        <v>0</v>
      </c>
      <c r="O23" s="200">
        <f t="shared" si="12"/>
        <v>0</v>
      </c>
      <c r="P23" s="166">
        <f t="shared" si="5"/>
        <v>0</v>
      </c>
      <c r="Q23" s="200">
        <f t="shared" si="13"/>
        <v>0</v>
      </c>
    </row>
    <row r="24" spans="1:17" x14ac:dyDescent="0.2">
      <c r="A24" s="96" t="s">
        <v>13</v>
      </c>
      <c r="B24" s="256">
        <f t="shared" si="1"/>
        <v>1</v>
      </c>
      <c r="C24" s="257">
        <f t="shared" si="1"/>
        <v>1151.4272443584</v>
      </c>
      <c r="D24" s="257">
        <f t="shared" si="2"/>
        <v>17.7</v>
      </c>
      <c r="E24" s="257">
        <f>SUMIFS('Reviews (by dept)'!G:G,'Reviews (by dept)'!F:F,'Annex 2'!A23,'Reviews (by dept)'!D:D,"&lt;&gt;Not graded")</f>
        <v>17.7</v>
      </c>
      <c r="F24" s="257"/>
      <c r="G24" s="258">
        <f t="shared" si="6"/>
        <v>1.5372226153865952E-2</v>
      </c>
      <c r="H24" s="214">
        <f t="shared" si="3"/>
        <v>0</v>
      </c>
      <c r="I24" s="260" t="s">
        <v>20</v>
      </c>
      <c r="J24" s="457">
        <f t="shared" si="4"/>
        <v>0</v>
      </c>
      <c r="K24" s="260" t="s">
        <v>20</v>
      </c>
      <c r="L24" s="166">
        <f t="shared" si="9"/>
        <v>17.7</v>
      </c>
      <c r="M24" s="200">
        <f t="shared" si="10"/>
        <v>1</v>
      </c>
      <c r="N24" s="166">
        <f t="shared" si="11"/>
        <v>0</v>
      </c>
      <c r="O24" s="200">
        <f t="shared" si="12"/>
        <v>0</v>
      </c>
      <c r="P24" s="166">
        <f t="shared" si="5"/>
        <v>0</v>
      </c>
      <c r="Q24" s="200">
        <f t="shared" si="13"/>
        <v>0</v>
      </c>
    </row>
    <row r="25" spans="1:17" x14ac:dyDescent="0.2">
      <c r="A25" s="96" t="s">
        <v>92</v>
      </c>
      <c r="B25" s="256">
        <v>1</v>
      </c>
      <c r="C25" s="257">
        <f>C9</f>
        <v>309.06760730999997</v>
      </c>
      <c r="D25" s="257">
        <f t="shared" si="2"/>
        <v>140</v>
      </c>
      <c r="E25" s="257">
        <f>SUMIFS('Reviews (by dept)'!G:G,'Reviews (by dept)'!F:F,'Annex 2'!A24,'Reviews (by dept)'!D:D,"&lt;&gt;Not graded")</f>
        <v>140</v>
      </c>
      <c r="F25" s="257"/>
      <c r="G25" s="258">
        <f t="shared" si="6"/>
        <v>0.45297532542638047</v>
      </c>
      <c r="H25" s="214">
        <f t="shared" si="3"/>
        <v>0</v>
      </c>
      <c r="I25" s="260">
        <f>H25/E25</f>
        <v>0</v>
      </c>
      <c r="J25" s="457">
        <f t="shared" si="4"/>
        <v>140</v>
      </c>
      <c r="K25" s="260">
        <f>J25/E25</f>
        <v>1</v>
      </c>
      <c r="L25" s="166">
        <f t="shared" si="9"/>
        <v>0</v>
      </c>
      <c r="M25" s="200">
        <f t="shared" si="10"/>
        <v>0</v>
      </c>
      <c r="N25" s="166">
        <f t="shared" si="11"/>
        <v>0</v>
      </c>
      <c r="O25" s="200">
        <f t="shared" si="12"/>
        <v>0</v>
      </c>
      <c r="P25" s="166">
        <f t="shared" si="5"/>
        <v>0</v>
      </c>
      <c r="Q25" s="200">
        <f t="shared" si="13"/>
        <v>0</v>
      </c>
    </row>
    <row r="26" spans="1:17" x14ac:dyDescent="0.2">
      <c r="A26" s="96" t="s">
        <v>389</v>
      </c>
      <c r="B26" s="256">
        <f>B10</f>
        <v>1</v>
      </c>
      <c r="C26" s="257">
        <f>C10</f>
        <v>216.85783859</v>
      </c>
      <c r="D26" s="257">
        <f t="shared" si="2"/>
        <v>477</v>
      </c>
      <c r="E26" s="257">
        <f>SUMIFS('Reviews (by dept)'!G:G,'Reviews (by dept)'!F:F,'Annex 2'!A25,'Reviews (by dept)'!D:D,"&lt;&gt;Not graded")</f>
        <v>477</v>
      </c>
      <c r="F26" s="257"/>
      <c r="G26" s="258">
        <f t="shared" si="6"/>
        <v>2.1995976862143087</v>
      </c>
      <c r="H26" s="214">
        <f t="shared" si="3"/>
        <v>0</v>
      </c>
      <c r="I26" s="260">
        <f t="shared" si="7"/>
        <v>0</v>
      </c>
      <c r="J26" s="457">
        <f t="shared" si="4"/>
        <v>477</v>
      </c>
      <c r="K26" s="260">
        <f t="shared" si="8"/>
        <v>1</v>
      </c>
      <c r="L26" s="166">
        <f t="shared" si="9"/>
        <v>0</v>
      </c>
      <c r="M26" s="200">
        <f t="shared" si="10"/>
        <v>0</v>
      </c>
      <c r="N26" s="166">
        <f t="shared" si="11"/>
        <v>0</v>
      </c>
      <c r="O26" s="200">
        <f t="shared" si="12"/>
        <v>0</v>
      </c>
      <c r="P26" s="166">
        <f t="shared" si="5"/>
        <v>0</v>
      </c>
      <c r="Q26" s="200">
        <f t="shared" si="13"/>
        <v>0</v>
      </c>
    </row>
    <row r="27" spans="1:17" x14ac:dyDescent="0.2">
      <c r="A27" s="96" t="s">
        <v>34</v>
      </c>
      <c r="B27" s="256">
        <f>B11</f>
        <v>2</v>
      </c>
      <c r="C27" s="257">
        <f>C11</f>
        <v>86.801409565407042</v>
      </c>
      <c r="D27" s="257">
        <f t="shared" si="2"/>
        <v>27</v>
      </c>
      <c r="E27" s="257">
        <f>SUMIFS('Reviews (by dept)'!G:G,'Reviews (by dept)'!F:F,'Annex 2'!A26,'Reviews (by dept)'!D:D,"&lt;&gt;Not graded")</f>
        <v>27</v>
      </c>
      <c r="F27" s="257"/>
      <c r="G27" s="258">
        <f t="shared" si="6"/>
        <v>0.31105485654187243</v>
      </c>
      <c r="H27" s="214">
        <f t="shared" si="3"/>
        <v>0</v>
      </c>
      <c r="I27" s="260">
        <f t="shared" si="7"/>
        <v>0</v>
      </c>
      <c r="J27" s="457">
        <f t="shared" si="4"/>
        <v>0</v>
      </c>
      <c r="K27" s="260">
        <f t="shared" si="8"/>
        <v>0</v>
      </c>
      <c r="L27" s="166">
        <f t="shared" si="9"/>
        <v>27</v>
      </c>
      <c r="M27" s="200">
        <f t="shared" si="10"/>
        <v>1</v>
      </c>
      <c r="N27" s="166">
        <f t="shared" si="11"/>
        <v>0</v>
      </c>
      <c r="O27" s="200">
        <f t="shared" si="12"/>
        <v>0</v>
      </c>
      <c r="P27" s="166">
        <f t="shared" si="5"/>
        <v>0</v>
      </c>
      <c r="Q27" s="200">
        <f t="shared" si="13"/>
        <v>0</v>
      </c>
    </row>
    <row r="28" spans="1:17" x14ac:dyDescent="0.2">
      <c r="A28" s="98" t="s">
        <v>211</v>
      </c>
      <c r="B28" s="256">
        <f>B12</f>
        <v>1</v>
      </c>
      <c r="C28" s="257">
        <f>C12</f>
        <v>45.70895719299989</v>
      </c>
      <c r="D28" s="257">
        <f t="shared" si="2"/>
        <v>25.1</v>
      </c>
      <c r="E28" s="257">
        <f>SUMIFS('Reviews (by dept)'!G:G,'Reviews (by dept)'!F:F,'Annex 2'!A27,'Reviews (by dept)'!D:D,"&lt;&gt;Not graded")</f>
        <v>25.1</v>
      </c>
      <c r="F28" s="257"/>
      <c r="G28" s="258">
        <f t="shared" si="6"/>
        <v>0.54912650695614529</v>
      </c>
      <c r="H28" s="214">
        <f t="shared" si="3"/>
        <v>0</v>
      </c>
      <c r="I28" s="260">
        <f t="shared" si="7"/>
        <v>0</v>
      </c>
      <c r="J28" s="457">
        <f t="shared" si="4"/>
        <v>0</v>
      </c>
      <c r="K28" s="260">
        <f>J28/E28</f>
        <v>0</v>
      </c>
      <c r="L28" s="166">
        <f t="shared" si="9"/>
        <v>25.1</v>
      </c>
      <c r="M28" s="200">
        <f t="shared" si="10"/>
        <v>1</v>
      </c>
      <c r="N28" s="166">
        <f t="shared" si="11"/>
        <v>0</v>
      </c>
      <c r="O28" s="200">
        <f t="shared" si="12"/>
        <v>0</v>
      </c>
      <c r="P28" s="166">
        <f t="shared" si="5"/>
        <v>0</v>
      </c>
      <c r="Q28" s="200">
        <f t="shared" si="13"/>
        <v>0</v>
      </c>
    </row>
    <row r="29" spans="1:17" x14ac:dyDescent="0.2">
      <c r="A29" s="165" t="s">
        <v>91</v>
      </c>
      <c r="B29" s="262">
        <f>B13</f>
        <v>58</v>
      </c>
      <c r="C29" s="263">
        <f>C13</f>
        <v>82726.984803943487</v>
      </c>
      <c r="D29" s="263">
        <f>SUM(D20:D28)</f>
        <v>61324.571133333338</v>
      </c>
      <c r="E29" s="263">
        <f>SUM(E20:E28)</f>
        <v>53788.071133333331</v>
      </c>
      <c r="F29" s="263"/>
      <c r="G29" s="258">
        <f>D29/C29</f>
        <v>0.741288604663494</v>
      </c>
      <c r="H29" s="253">
        <f>G13</f>
        <v>428.928</v>
      </c>
      <c r="I29" s="260">
        <f>H29/E29</f>
        <v>7.9744075398566656E-3</v>
      </c>
      <c r="J29" s="253">
        <f t="shared" si="4"/>
        <v>41155.100000000006</v>
      </c>
      <c r="K29" s="260">
        <f>J29/E29</f>
        <v>0.76513433430215594</v>
      </c>
      <c r="L29" s="166">
        <f t="shared" si="9"/>
        <v>12095.043133333334</v>
      </c>
      <c r="M29" s="200">
        <f t="shared" si="10"/>
        <v>0.22486478653141073</v>
      </c>
      <c r="N29" s="166">
        <f t="shared" si="11"/>
        <v>109</v>
      </c>
      <c r="O29" s="200">
        <f t="shared" si="12"/>
        <v>2.0264716265768999E-3</v>
      </c>
      <c r="P29" s="166">
        <f t="shared" si="5"/>
        <v>7536.5000000000009</v>
      </c>
      <c r="Q29" s="200">
        <f t="shared" si="13"/>
        <v>0.12289527445065965</v>
      </c>
    </row>
  </sheetData>
  <mergeCells count="6">
    <mergeCell ref="P18:Q18"/>
    <mergeCell ref="G2:K2"/>
    <mergeCell ref="H18:I18"/>
    <mergeCell ref="J18:K18"/>
    <mergeCell ref="L18:M18"/>
    <mergeCell ref="N18:O18"/>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16"/>
  <sheetViews>
    <sheetView workbookViewId="0">
      <selection activeCell="F9" sqref="F9"/>
    </sheetView>
  </sheetViews>
  <sheetFormatPr defaultColWidth="14.42578125" defaultRowHeight="15.75" customHeight="1" x14ac:dyDescent="0.2"/>
  <cols>
    <col min="2" max="2" width="1.85546875" style="217" customWidth="1"/>
    <col min="5" max="5" width="1.85546875" style="217" customWidth="1"/>
  </cols>
  <sheetData>
    <row r="1" spans="1:9" s="212" customFormat="1" ht="15.75" customHeight="1" x14ac:dyDescent="0.2">
      <c r="A1" s="87"/>
      <c r="B1" s="129"/>
      <c r="C1" s="475" t="s">
        <v>392</v>
      </c>
      <c r="D1" s="475"/>
      <c r="E1" s="220"/>
      <c r="F1" s="475" t="s">
        <v>393</v>
      </c>
      <c r="G1" s="475"/>
    </row>
    <row r="2" spans="1:9" ht="25.5" x14ac:dyDescent="0.2">
      <c r="A2" s="221" t="s">
        <v>4</v>
      </c>
      <c r="B2" s="222"/>
      <c r="C2" s="221" t="s">
        <v>384</v>
      </c>
      <c r="D2" s="221" t="s">
        <v>385</v>
      </c>
      <c r="E2" s="222"/>
      <c r="F2" s="221" t="s">
        <v>380</v>
      </c>
      <c r="G2" s="221" t="s">
        <v>381</v>
      </c>
    </row>
    <row r="3" spans="1:9" s="88" customFormat="1" ht="15.75" customHeight="1" x14ac:dyDescent="0.2">
      <c r="A3" s="223" t="str">
        <f ca="1">IFERROR(__xludf.DUMMYFUNCTION("""COMPUTED_VALUE"""),"Green")</f>
        <v>Green</v>
      </c>
      <c r="B3" s="129"/>
      <c r="C3" s="224">
        <f ca="1">COUNTIF(Reviews!C:C,A3)</f>
        <v>4</v>
      </c>
      <c r="D3" s="225">
        <f ca="1">C3/C$8</f>
        <v>6.8965517241379309E-2</v>
      </c>
      <c r="E3" s="226"/>
      <c r="F3" s="227">
        <f ca="1">SUMIF('Reviews (by dept)'!D:D,A3,'Reviews (by dept)'!I:I)</f>
        <v>428.928</v>
      </c>
      <c r="G3" s="225">
        <f ca="1">F3/F$8</f>
        <v>1.9619406958328155E-2</v>
      </c>
    </row>
    <row r="4" spans="1:9" ht="15.75" customHeight="1" x14ac:dyDescent="0.2">
      <c r="A4" s="228" t="str">
        <f ca="1">IFERROR(__xludf.DUMMYFUNCTION("""COMPUTED_VALUE"""),"Green/Amber")</f>
        <v>Green/Amber</v>
      </c>
      <c r="B4" s="129"/>
      <c r="C4" s="229">
        <f ca="1">COUNTIF(Reviews!C:C,A4)</f>
        <v>33</v>
      </c>
      <c r="D4" s="230">
        <f ca="1">C4/C$8</f>
        <v>0.56896551724137934</v>
      </c>
      <c r="E4" s="226"/>
      <c r="F4" s="231">
        <f ca="1">SUMIF('Reviews (by dept)'!D:D,A4,'Reviews (by dept)'!I:I)</f>
        <v>16894.566722666663</v>
      </c>
      <c r="G4" s="230">
        <f ca="1">F4/F$8</f>
        <v>0.77276694437440696</v>
      </c>
    </row>
    <row r="5" spans="1:9" ht="15.75" customHeight="1" x14ac:dyDescent="0.2">
      <c r="A5" s="232" t="str">
        <f ca="1">IFERROR(__xludf.DUMMYFUNCTION("""COMPUTED_VALUE"""),"Amber/Red")</f>
        <v>Amber/Red</v>
      </c>
      <c r="B5" s="129"/>
      <c r="C5" s="233">
        <f ca="1">COUNTIF(Reviews!C:C,A5)</f>
        <v>20</v>
      </c>
      <c r="D5" s="234">
        <f ca="1">C5/C$8</f>
        <v>0.34482758620689657</v>
      </c>
      <c r="E5" s="226"/>
      <c r="F5" s="235">
        <f ca="1">SUMIF('Reviews (by dept)'!D:D,A5,'Reviews (by dept)'!I:I)</f>
        <v>4429.939800000001</v>
      </c>
      <c r="G5" s="234">
        <f ca="1">F5/F$8</f>
        <v>0.20262792761744361</v>
      </c>
    </row>
    <row r="6" spans="1:9" ht="15.75" customHeight="1" x14ac:dyDescent="0.2">
      <c r="A6" s="236" t="str">
        <f ca="1">IFERROR(__xludf.DUMMYFUNCTION("""COMPUTED_VALUE"""),"Red")</f>
        <v>Red</v>
      </c>
      <c r="B6" s="129"/>
      <c r="C6" s="237">
        <f ca="1">COUNTIF(Reviews!C:C,A6)</f>
        <v>1</v>
      </c>
      <c r="D6" s="238">
        <f ca="1">C6/C$8</f>
        <v>1.7241379310344827E-2</v>
      </c>
      <c r="E6" s="226"/>
      <c r="F6" s="239">
        <f ca="1">SUMIF('Reviews (by dept)'!D:D,A6,'Reviews (by dept)'!I:I)</f>
        <v>109</v>
      </c>
      <c r="G6" s="238">
        <f ca="1">F6/F$8</f>
        <v>4.9857210498213426E-3</v>
      </c>
    </row>
    <row r="7" spans="1:9" ht="15.75" customHeight="1" x14ac:dyDescent="0.2">
      <c r="A7" s="240" t="str">
        <f ca="1">IFERROR(__xludf.DUMMYFUNCTION("""COMPUTED_VALUE"""),"Not graded")</f>
        <v>Not graded</v>
      </c>
      <c r="B7" s="129"/>
      <c r="C7" s="241">
        <f ca="1">COUNTIF(Reviews!C:C,A7)</f>
        <v>7</v>
      </c>
      <c r="D7" s="242"/>
      <c r="E7" s="226"/>
      <c r="F7" s="243">
        <f ca="1">SUMIF('Reviews (by dept)'!D:D,A7,'Reviews (by dept)'!I:I)</f>
        <v>5969.9000000000005</v>
      </c>
      <c r="G7" s="242"/>
    </row>
    <row r="8" spans="1:9" ht="15.75" customHeight="1" x14ac:dyDescent="0.2">
      <c r="A8" s="96" t="s">
        <v>90</v>
      </c>
      <c r="B8" s="244"/>
      <c r="C8" s="213">
        <f ca="1">SUM(C3:C6)</f>
        <v>58</v>
      </c>
      <c r="D8" s="265" t="s">
        <v>400</v>
      </c>
      <c r="E8" s="133"/>
      <c r="F8" s="245">
        <f ca="1">SUM(F3:F6)</f>
        <v>21862.434522666663</v>
      </c>
      <c r="G8" s="213" t="s">
        <v>208</v>
      </c>
    </row>
    <row r="9" spans="1:9" ht="15.75" customHeight="1" x14ac:dyDescent="0.2">
      <c r="A9" s="96" t="s">
        <v>91</v>
      </c>
      <c r="B9" s="244"/>
      <c r="C9" s="213">
        <f ca="1">SUM(C3:C7)</f>
        <v>65</v>
      </c>
      <c r="D9" s="213" t="s">
        <v>208</v>
      </c>
      <c r="E9" s="133"/>
      <c r="F9" s="245">
        <f ca="1">SUM(F3:F7)</f>
        <v>27832.334522666664</v>
      </c>
      <c r="G9" s="213" t="s">
        <v>208</v>
      </c>
      <c r="I9" s="185"/>
    </row>
    <row r="12" spans="1:9" ht="15.75" customHeight="1" x14ac:dyDescent="0.2">
      <c r="H12" s="184"/>
    </row>
    <row r="16" spans="1:9" ht="15.75" customHeight="1" x14ac:dyDescent="0.2">
      <c r="D16" s="185"/>
      <c r="E16" s="218"/>
    </row>
  </sheetData>
  <mergeCells count="2">
    <mergeCell ref="C1:D1"/>
    <mergeCell ref="F1:G1"/>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C0990-0F85-4FD3-8F63-06013350B54C}">
  <dimension ref="A1:H18"/>
  <sheetViews>
    <sheetView workbookViewId="0">
      <selection activeCell="B2" sqref="B2"/>
    </sheetView>
  </sheetViews>
  <sheetFormatPr defaultRowHeight="12.75" x14ac:dyDescent="0.2"/>
  <cols>
    <col min="1" max="1" width="20.42578125" customWidth="1"/>
    <col min="2" max="2" width="13.5703125" customWidth="1"/>
    <col min="3" max="3" width="13.5703125" bestFit="1" customWidth="1"/>
    <col min="4" max="4" width="11.42578125" customWidth="1"/>
    <col min="5" max="5" width="15.42578125" customWidth="1"/>
    <col min="6" max="6" width="10.42578125" bestFit="1" customWidth="1"/>
    <col min="7" max="7" width="9.42578125" bestFit="1" customWidth="1"/>
    <col min="8" max="8" width="8.85546875" bestFit="1" customWidth="1"/>
  </cols>
  <sheetData>
    <row r="1" spans="1:8" ht="76.5" x14ac:dyDescent="0.2">
      <c r="A1" s="271"/>
      <c r="B1" s="251" t="str">
        <f>'Annex 2'!D2</f>
        <v>Total ODA spending 2010-2017 (£m)</v>
      </c>
      <c r="C1" s="251" t="str">
        <f>'Annex 2'!B2</f>
        <v>Number of Graded ICAI reviews</v>
      </c>
      <c r="D1" s="251" t="str">
        <f>'Annex 2'!F2</f>
        <v>Total directly evaluated (£m)</v>
      </c>
      <c r="E1" s="251" t="s">
        <v>396</v>
      </c>
      <c r="F1" s="212"/>
      <c r="G1" s="212"/>
      <c r="H1" s="212"/>
    </row>
    <row r="2" spans="1:8" x14ac:dyDescent="0.2">
      <c r="A2" s="271" t="str">
        <f>'Annex 2'!A4</f>
        <v>DFID</v>
      </c>
      <c r="B2" s="252">
        <f>'Annex 2'!D4</f>
        <v>73017.456138996495</v>
      </c>
      <c r="C2" s="213">
        <f>'Annex 2'!B4</f>
        <v>57</v>
      </c>
      <c r="D2" s="252">
        <f>'Annex 2'!F4</f>
        <v>24688.423522666664</v>
      </c>
      <c r="E2" s="254">
        <f>SUM('Annex 2'!G4:H4)/SUM('Annex 2'!G4:J4)</f>
        <v>0.78647379589517541</v>
      </c>
      <c r="F2" s="247"/>
      <c r="G2" s="247"/>
      <c r="H2" s="247"/>
    </row>
    <row r="3" spans="1:8" x14ac:dyDescent="0.2">
      <c r="A3" s="271" t="str">
        <f>'Annex 2'!A5</f>
        <v>FCO</v>
      </c>
      <c r="B3" s="252">
        <f>'Annex 2'!D5</f>
        <v>4657.6407615329626</v>
      </c>
      <c r="C3" s="213">
        <f>'Annex 2'!B5</f>
        <v>4</v>
      </c>
      <c r="D3" s="252">
        <f>'Annex 2'!F5</f>
        <v>746.47900000000004</v>
      </c>
      <c r="E3" s="254">
        <f>SUM('Annex 2'!G5:H5)/SUM('Annex 2'!G5:J5)</f>
        <v>0.21441215754190662</v>
      </c>
      <c r="F3" s="247"/>
      <c r="G3" s="247"/>
      <c r="H3" s="247"/>
    </row>
    <row r="4" spans="1:8" s="212" customFormat="1" x14ac:dyDescent="0.2">
      <c r="A4" s="271" t="s">
        <v>406</v>
      </c>
      <c r="B4" s="277">
        <f>SID!J7</f>
        <v>2191.5112479999998</v>
      </c>
      <c r="C4" s="241">
        <f>'Reviews (cssf)'!B7</f>
        <v>3</v>
      </c>
      <c r="D4" s="277">
        <f>'Reviews (cssf)'!B6</f>
        <v>184.12249999999997</v>
      </c>
      <c r="E4" s="278">
        <f>'Reviews (cssf)'!B3/D4</f>
        <v>5.9865035506252641E-2</v>
      </c>
      <c r="F4" s="247"/>
      <c r="H4" s="247"/>
    </row>
    <row r="5" spans="1:8" x14ac:dyDescent="0.2">
      <c r="A5" s="271" t="str">
        <f>'Annex 2'!A6</f>
        <v>BEIS</v>
      </c>
      <c r="B5" s="252">
        <f>'Annex 2'!D6</f>
        <v>1464.6489745322065</v>
      </c>
      <c r="C5" s="213">
        <f>'Annex 2'!B6</f>
        <v>0</v>
      </c>
      <c r="D5" s="252">
        <f>'Annex 2'!F6</f>
        <v>1300</v>
      </c>
      <c r="E5" s="255" t="s">
        <v>397</v>
      </c>
      <c r="F5" s="247"/>
      <c r="G5" s="247"/>
      <c r="H5" s="247"/>
    </row>
    <row r="6" spans="1:8" x14ac:dyDescent="0.2">
      <c r="A6" s="271" t="str">
        <f>'Annex 2'!A7</f>
        <v>DECC</v>
      </c>
      <c r="B6" s="252">
        <f>'Annex 2'!D7</f>
        <v>1777.3758718650001</v>
      </c>
      <c r="C6" s="213">
        <f>'Annex 2'!B7</f>
        <v>1</v>
      </c>
      <c r="D6" s="252">
        <f>'Annex 2'!F7</f>
        <v>646.92000000000007</v>
      </c>
      <c r="E6" s="254">
        <f>SUM('Annex 2'!G7:H7)/SUM('Annex 2'!G7:J7)</f>
        <v>1</v>
      </c>
      <c r="F6" s="247"/>
      <c r="G6" s="247"/>
      <c r="H6" s="247"/>
    </row>
    <row r="7" spans="1:8" x14ac:dyDescent="0.2">
      <c r="A7" s="271" t="str">
        <f>'Annex 2'!A8</f>
        <v>Home Office</v>
      </c>
      <c r="B7" s="252">
        <f>'Annex 2'!D8</f>
        <v>1151.4272443584</v>
      </c>
      <c r="C7" s="213">
        <f>'Annex 2'!B8</f>
        <v>1</v>
      </c>
      <c r="D7" s="252">
        <f>'Annex 2'!F8</f>
        <v>0</v>
      </c>
      <c r="E7" s="255" t="s">
        <v>397</v>
      </c>
      <c r="F7" s="247"/>
      <c r="G7" s="247"/>
      <c r="H7" s="247"/>
    </row>
    <row r="8" spans="1:8" x14ac:dyDescent="0.2">
      <c r="A8" s="271" t="str">
        <f>'Annex 2'!A9</f>
        <v>DEFRA</v>
      </c>
      <c r="B8" s="252">
        <f>'Annex 2'!D9</f>
        <v>309.06760730999997</v>
      </c>
      <c r="C8" s="213">
        <f>'Annex 2'!B9</f>
        <v>1</v>
      </c>
      <c r="D8" s="252">
        <f>'Annex 2'!F9</f>
        <v>23.96</v>
      </c>
      <c r="E8" s="254">
        <f>SUM('Annex 2'!G9:H9)/SUM('Annex 2'!G9:J9)</f>
        <v>1</v>
      </c>
      <c r="F8" s="247"/>
      <c r="G8" s="247"/>
      <c r="H8" s="247"/>
    </row>
    <row r="9" spans="1:8" x14ac:dyDescent="0.2">
      <c r="A9" s="271" t="str">
        <f>'Annex 2'!A10</f>
        <v>DHSC</v>
      </c>
      <c r="B9" s="252">
        <f>'Annex 2'!D10</f>
        <v>216.85783859</v>
      </c>
      <c r="C9" s="213">
        <f>'Annex 2'!B10</f>
        <v>1</v>
      </c>
      <c r="D9" s="252">
        <f>'Annex 2'!F10</f>
        <v>411</v>
      </c>
      <c r="E9" s="254">
        <f>SUM('Annex 2'!G10:H10)/SUM('Annex 2'!G10:J10)</f>
        <v>1</v>
      </c>
      <c r="F9" s="247"/>
      <c r="G9" s="247"/>
      <c r="H9" s="247"/>
    </row>
    <row r="10" spans="1:8" x14ac:dyDescent="0.2">
      <c r="A10" s="271" t="str">
        <f>'Annex 2'!A11</f>
        <v>MOD</v>
      </c>
      <c r="B10" s="252">
        <f>'Annex 2'!D11</f>
        <v>86.801409565407042</v>
      </c>
      <c r="C10" s="213">
        <f>'Annex 2'!B11</f>
        <v>2</v>
      </c>
      <c r="D10" s="252">
        <f>'Annex 2'!F11</f>
        <v>2.84</v>
      </c>
      <c r="E10" s="254">
        <f>SUM('Annex 2'!G11:H11)/SUM('Annex 2'!G11:J11)</f>
        <v>0</v>
      </c>
      <c r="F10" s="247"/>
      <c r="G10" s="247"/>
      <c r="H10" s="247"/>
    </row>
    <row r="11" spans="1:8" x14ac:dyDescent="0.2">
      <c r="A11" s="271" t="str">
        <f>'Annex 2'!A12</f>
        <v>NCA</v>
      </c>
      <c r="B11" s="252">
        <f>'Annex 2'!D12</f>
        <v>45.70895719299989</v>
      </c>
      <c r="C11" s="213">
        <f>'Annex 2'!B12</f>
        <v>1</v>
      </c>
      <c r="D11" s="252">
        <f>'Annex 2'!F12</f>
        <v>12.712000000000002</v>
      </c>
      <c r="E11" s="254">
        <f>SUM('Annex 2'!G12:H12)/SUM('Annex 2'!G12:J12)</f>
        <v>0</v>
      </c>
      <c r="F11" s="247"/>
      <c r="G11" s="247"/>
      <c r="H11" s="247"/>
    </row>
    <row r="12" spans="1:8" x14ac:dyDescent="0.2">
      <c r="A12" s="68" t="s">
        <v>407</v>
      </c>
      <c r="B12" s="248"/>
      <c r="C12" s="219"/>
      <c r="D12" s="249"/>
      <c r="E12" s="250"/>
      <c r="F12" s="247"/>
      <c r="G12" s="247"/>
      <c r="H12" s="247"/>
    </row>
    <row r="13" spans="1:8" x14ac:dyDescent="0.2">
      <c r="D13" s="68"/>
    </row>
    <row r="18" spans="1:1" x14ac:dyDescent="0.2">
      <c r="A18" s="272"/>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41201-1278-4020-AE1B-867D1805EDBD}">
  <dimension ref="A1:I18"/>
  <sheetViews>
    <sheetView workbookViewId="0">
      <selection activeCell="B9" sqref="B9"/>
    </sheetView>
  </sheetViews>
  <sheetFormatPr defaultColWidth="8.7109375" defaultRowHeight="12.75" x14ac:dyDescent="0.2"/>
  <cols>
    <col min="1" max="1" width="8.7109375" style="197"/>
    <col min="2" max="2" width="15" style="197" customWidth="1"/>
    <col min="3" max="3" width="9.42578125" style="197" bestFit="1" customWidth="1"/>
    <col min="4" max="4" width="10.42578125" style="197" bestFit="1" customWidth="1"/>
    <col min="5" max="5" width="8.85546875" style="197" bestFit="1" customWidth="1"/>
    <col min="6" max="6" width="10.42578125" style="197" bestFit="1" customWidth="1"/>
    <col min="7" max="16384" width="8.7109375" style="197"/>
  </cols>
  <sheetData>
    <row r="1" spans="1:9" x14ac:dyDescent="0.2">
      <c r="B1" s="197" t="s">
        <v>12</v>
      </c>
      <c r="C1" s="197" t="s">
        <v>11</v>
      </c>
      <c r="D1" s="197" t="s">
        <v>12</v>
      </c>
      <c r="E1" s="197" t="s">
        <v>11</v>
      </c>
      <c r="F1" s="197" t="s">
        <v>12</v>
      </c>
      <c r="G1" s="197" t="s">
        <v>11</v>
      </c>
    </row>
    <row r="2" spans="1:9" x14ac:dyDescent="0.2">
      <c r="B2" s="209" t="s">
        <v>350</v>
      </c>
      <c r="C2" s="209" t="s">
        <v>350</v>
      </c>
      <c r="D2" s="209" t="s">
        <v>86</v>
      </c>
      <c r="E2" s="209" t="s">
        <v>86</v>
      </c>
      <c r="F2" s="209" t="s">
        <v>85</v>
      </c>
      <c r="G2" s="209" t="s">
        <v>85</v>
      </c>
    </row>
    <row r="3" spans="1:9" x14ac:dyDescent="0.2">
      <c r="A3" s="87"/>
      <c r="B3" s="478" t="s">
        <v>350</v>
      </c>
      <c r="C3" s="478"/>
      <c r="D3" s="478" t="s">
        <v>86</v>
      </c>
      <c r="E3" s="478"/>
      <c r="F3" s="478" t="s">
        <v>85</v>
      </c>
      <c r="G3" s="478"/>
      <c r="H3" s="87" t="s">
        <v>386</v>
      </c>
      <c r="I3" s="87"/>
    </row>
    <row r="4" spans="1:9" ht="38.25" x14ac:dyDescent="0.2">
      <c r="A4" s="87"/>
      <c r="B4" s="153" t="s">
        <v>458</v>
      </c>
      <c r="C4" s="160" t="s">
        <v>352</v>
      </c>
      <c r="D4" s="160" t="s">
        <v>353</v>
      </c>
      <c r="E4" s="160" t="s">
        <v>355</v>
      </c>
      <c r="F4" s="160" t="s">
        <v>354</v>
      </c>
      <c r="G4" s="160" t="s">
        <v>355</v>
      </c>
      <c r="H4" s="269" t="s">
        <v>387</v>
      </c>
      <c r="I4" s="269" t="s">
        <v>388</v>
      </c>
    </row>
    <row r="5" spans="1:9" x14ac:dyDescent="0.2">
      <c r="A5" s="86" t="s">
        <v>27</v>
      </c>
      <c r="B5" s="211">
        <f>SUMIFS('Reviews (by dept)'!$I:$I,'Reviews (by dept)'!$B:$B,'Tab3'!B$2,'Reviews (by dept)'!$F:$F,'Tab3'!B$1,'Reviews (by dept)'!$D:$D,'Tab3'!$A5)</f>
        <v>0</v>
      </c>
      <c r="C5" s="211">
        <f>SUMIFS('Reviews (by dept)'!$I:$I,'Reviews (by dept)'!$B:$B,'Tab3'!C$2,'Reviews (by dept)'!$F:$F,'Tab3'!C$1,'Reviews (by dept)'!$D:$D,'Tab3'!$A5)</f>
        <v>0</v>
      </c>
      <c r="D5" s="211">
        <f>SUMIFS('Reviews (by dept)'!$I:$I,'Reviews (by dept)'!$B:$B,'Tab3'!D$2,'Reviews (by dept)'!$F:$F,'Tab3'!D$1,'Reviews (by dept)'!$D:$D,'Tab3'!$A5)</f>
        <v>184</v>
      </c>
      <c r="E5" s="211">
        <f>SUMIFS('Reviews (by dept)'!$I:$I,'Reviews (by dept)'!$B:$B,'Tab3'!E$2,'Reviews (by dept)'!$F:$F,'Tab3'!E$1,'Reviews (by dept)'!$D:$D,'Tab3'!$A5)</f>
        <v>0</v>
      </c>
      <c r="F5" s="211">
        <f>SUMIFS('Reviews (by dept)'!$I:$I,'Reviews (by dept)'!$B:$B,'Tab3'!F$2,'Reviews (by dept)'!$F:$F,'Tab3'!F$1,'Reviews (by dept)'!$D:$D,'Tab3'!$A5)</f>
        <v>0</v>
      </c>
      <c r="G5" s="211">
        <f>SUMIFS('Reviews (by dept)'!$I:$I,'Reviews (by dept)'!$B:$B,'Tab3'!G$2,'Reviews (by dept)'!$F:$F,'Tab3'!G$1,'Reviews (by dept)'!$D:$D,'Tab3'!$A5)</f>
        <v>0</v>
      </c>
      <c r="H5" s="87">
        <f>D5+F5</f>
        <v>184</v>
      </c>
      <c r="I5" s="200">
        <f>H5/SUM(H$5:H$8)</f>
        <v>4.1220792604153442E-2</v>
      </c>
    </row>
    <row r="6" spans="1:9" x14ac:dyDescent="0.2">
      <c r="A6" s="86" t="s">
        <v>7</v>
      </c>
      <c r="B6" s="211">
        <f>SUMIFS('Reviews (by dept)'!$I:$I,'Reviews (by dept)'!$B:$B,'Tab3'!B$2,'Reviews (by dept)'!$F:$F,'Tab3'!B$1,'Reviews (by dept)'!$D:$D,'Tab3'!$A6)</f>
        <v>7073.4210560000001</v>
      </c>
      <c r="C6" s="211">
        <f>SUMIFS('Reviews (by dept)'!$I:$I,'Reviews (by dept)'!$B:$B,'Tab3'!C$2,'Reviews (by dept)'!$F:$F,'Tab3'!C$1,'Reviews (by dept)'!$D:$D,'Tab3'!$A6)</f>
        <v>10.39</v>
      </c>
      <c r="D6" s="211">
        <f>SUMIFS('Reviews (by dept)'!$I:$I,'Reviews (by dept)'!$B:$B,'Tab3'!D$2,'Reviews (by dept)'!$F:$F,'Tab3'!D$1,'Reviews (by dept)'!$D:$D,'Tab3'!$A6)</f>
        <v>1599.8000000000002</v>
      </c>
      <c r="E6" s="211">
        <f>SUMIFS('Reviews (by dept)'!$I:$I,'Reviews (by dept)'!$B:$B,'Tab3'!E$2,'Reviews (by dept)'!$F:$F,'Tab3'!E$1,'Reviews (by dept)'!$D:$D,'Tab3'!$A6)</f>
        <v>0</v>
      </c>
      <c r="F6" s="211">
        <f>SUMIFS('Reviews (by dept)'!$I:$I,'Reviews (by dept)'!$B:$B,'Tab3'!F$2,'Reviews (by dept)'!$F:$F,'Tab3'!F$1,'Reviews (by dept)'!$D:$D,'Tab3'!$A6)</f>
        <v>1891.0666666666668</v>
      </c>
      <c r="G6" s="211">
        <f>SUMIFS('Reviews (by dept)'!$I:$I,'Reviews (by dept)'!$B:$B,'Tab3'!G$2,'Reviews (by dept)'!$F:$F,'Tab3'!G$1,'Reviews (by dept)'!$D:$D,'Tab3'!$A6)</f>
        <v>0</v>
      </c>
      <c r="H6" s="87">
        <f>D6+F6</f>
        <v>3490.8666666666668</v>
      </c>
      <c r="I6" s="200">
        <f>H6/SUM(H$5:H$8)</f>
        <v>0.78204505910553879</v>
      </c>
    </row>
    <row r="7" spans="1:9" x14ac:dyDescent="0.2">
      <c r="A7" s="86" t="s">
        <v>16</v>
      </c>
      <c r="B7" s="211">
        <f>SUMIFS('Reviews (by dept)'!$I:$I,'Reviews (by dept)'!$B:$B,'Tab3'!B$2,'Reviews (by dept)'!$F:$F,'Tab3'!B$1,'Reviews (by dept)'!$D:$D,'Tab3'!$A7)</f>
        <v>1043.2898</v>
      </c>
      <c r="C7" s="211">
        <f>SUMIFS('Reviews (by dept)'!$I:$I,'Reviews (by dept)'!$B:$B,'Tab3'!C$2,'Reviews (by dept)'!$F:$F,'Tab3'!C$1,'Reviews (by dept)'!$D:$D,'Tab3'!$A7)</f>
        <v>114.408</v>
      </c>
      <c r="D7" s="211">
        <f>SUMIFS('Reviews (by dept)'!$I:$I,'Reviews (by dept)'!$B:$B,'Tab3'!D$2,'Reviews (by dept)'!$F:$F,'Tab3'!D$1,'Reviews (by dept)'!$D:$D,'Tab3'!$A7)</f>
        <v>38.9</v>
      </c>
      <c r="E7" s="211">
        <f>SUMIFS('Reviews (by dept)'!$I:$I,'Reviews (by dept)'!$B:$B,'Tab3'!E$2,'Reviews (by dept)'!$F:$F,'Tab3'!E$1,'Reviews (by dept)'!$D:$D,'Tab3'!$A7)</f>
        <v>0</v>
      </c>
      <c r="F7" s="211">
        <f>SUMIFS('Reviews (by dept)'!$I:$I,'Reviews (by dept)'!$B:$B,'Tab3'!F$2,'Reviews (by dept)'!$F:$F,'Tab3'!F$1,'Reviews (by dept)'!$D:$D,'Tab3'!$A7)</f>
        <v>750</v>
      </c>
      <c r="G7" s="211">
        <f>SUMIFS('Reviews (by dept)'!$I:$I,'Reviews (by dept)'!$B:$B,'Tab3'!G$2,'Reviews (by dept)'!$F:$F,'Tab3'!G$1,'Reviews (by dept)'!$D:$D,'Tab3'!$A7)</f>
        <v>0</v>
      </c>
      <c r="H7" s="87">
        <f>D7+F7</f>
        <v>788.9</v>
      </c>
      <c r="I7" s="200">
        <f>H7/SUM(H$5:H$8)</f>
        <v>0.1767341482903079</v>
      </c>
    </row>
    <row r="8" spans="1:9" x14ac:dyDescent="0.2">
      <c r="A8" s="86" t="s">
        <v>21</v>
      </c>
      <c r="B8" s="211">
        <f>SUMIFS('Reviews (by dept)'!$I:$I,'Reviews (by dept)'!$B:$B,'Tab3'!B$2,'Reviews (by dept)'!$F:$F,'Tab3'!B$1,'Reviews (by dept)'!$D:$D,'Tab3'!$A8)</f>
        <v>0</v>
      </c>
      <c r="C8" s="211">
        <f>SUMIFS('Reviews (by dept)'!$I:$I,'Reviews (by dept)'!$B:$B,'Tab3'!C$2,'Reviews (by dept)'!$F:$F,'Tab3'!C$1,'Reviews (by dept)'!$D:$D,'Tab3'!$A8)</f>
        <v>0</v>
      </c>
      <c r="D8" s="211">
        <f>SUMIFS('Reviews (by dept)'!$I:$I,'Reviews (by dept)'!$B:$B,'Tab3'!D$2,'Reviews (by dept)'!$F:$F,'Tab3'!D$1,'Reviews (by dept)'!$D:$D,'Tab3'!$A8)</f>
        <v>0</v>
      </c>
      <c r="E8" s="211">
        <f>SUMIFS('Reviews (by dept)'!$I:$I,'Reviews (by dept)'!$B:$B,'Tab3'!E$2,'Reviews (by dept)'!$F:$F,'Tab3'!E$1,'Reviews (by dept)'!$D:$D,'Tab3'!$A8)</f>
        <v>0</v>
      </c>
      <c r="F8" s="211">
        <f>SUMIFS('Reviews (by dept)'!$I:$I,'Reviews (by dept)'!$B:$B,'Tab3'!F$2,'Reviews (by dept)'!$F:$F,'Tab3'!F$1,'Reviews (by dept)'!$D:$D,'Tab3'!$A8)</f>
        <v>0</v>
      </c>
      <c r="G8" s="211">
        <f>SUMIFS('Reviews (by dept)'!$I:$I,'Reviews (by dept)'!$B:$B,'Tab3'!G$2,'Reviews (by dept)'!$F:$F,'Tab3'!G$1,'Reviews (by dept)'!$D:$D,'Tab3'!$A8)</f>
        <v>0</v>
      </c>
      <c r="H8" s="87">
        <f>D8+F8</f>
        <v>0</v>
      </c>
      <c r="I8" s="200">
        <f>H8/SUM(H$5:H$8)</f>
        <v>0</v>
      </c>
    </row>
    <row r="9" spans="1:9" x14ac:dyDescent="0.2">
      <c r="A9" s="210" t="s">
        <v>356</v>
      </c>
      <c r="B9" s="460">
        <f>SUM(B5:B6)/SUM(B5:B8)</f>
        <v>0.87146396877883314</v>
      </c>
      <c r="C9" s="460">
        <f t="shared" ref="C9:F9" si="0">SUM(C5:C6)/SUM(C5:C8)</f>
        <v>8.3254539335566272E-2</v>
      </c>
      <c r="D9" s="460">
        <f t="shared" si="0"/>
        <v>0.97865803478356284</v>
      </c>
      <c r="E9" s="460" t="s">
        <v>397</v>
      </c>
      <c r="F9" s="460">
        <f t="shared" si="0"/>
        <v>0.71602382875605819</v>
      </c>
      <c r="G9" s="460" t="s">
        <v>397</v>
      </c>
      <c r="H9" s="87"/>
      <c r="I9" s="270">
        <f>SUM(I5:I6)</f>
        <v>0.82326585170969224</v>
      </c>
    </row>
    <row r="11" spans="1:9" x14ac:dyDescent="0.2">
      <c r="B11" s="86" t="s">
        <v>350</v>
      </c>
      <c r="C11" s="86" t="s">
        <v>350</v>
      </c>
      <c r="D11" s="86" t="s">
        <v>86</v>
      </c>
      <c r="E11" s="86" t="s">
        <v>86</v>
      </c>
      <c r="F11" s="86" t="s">
        <v>85</v>
      </c>
      <c r="G11" s="86" t="s">
        <v>85</v>
      </c>
    </row>
    <row r="12" spans="1:9" x14ac:dyDescent="0.2">
      <c r="B12" s="476" t="s">
        <v>350</v>
      </c>
      <c r="C12" s="477"/>
      <c r="D12" s="476" t="s">
        <v>86</v>
      </c>
      <c r="E12" s="477"/>
      <c r="F12" s="476" t="s">
        <v>85</v>
      </c>
      <c r="G12" s="477"/>
    </row>
    <row r="13" spans="1:9" s="459" customFormat="1" x14ac:dyDescent="0.2">
      <c r="B13" s="464" t="s">
        <v>12</v>
      </c>
      <c r="C13" s="465" t="s">
        <v>11</v>
      </c>
      <c r="D13" s="464" t="s">
        <v>12</v>
      </c>
      <c r="E13" s="465" t="s">
        <v>11</v>
      </c>
      <c r="F13" s="464" t="s">
        <v>12</v>
      </c>
      <c r="G13" s="465" t="s">
        <v>11</v>
      </c>
    </row>
    <row r="14" spans="1:9" x14ac:dyDescent="0.2">
      <c r="B14" s="86">
        <f>SUM(B15:B18)</f>
        <v>11</v>
      </c>
      <c r="C14" s="86">
        <f t="shared" ref="C14:G14" si="1">SUM(C15:C18)</f>
        <v>2</v>
      </c>
      <c r="D14" s="86">
        <f t="shared" si="1"/>
        <v>4</v>
      </c>
      <c r="E14" s="86">
        <f t="shared" si="1"/>
        <v>0</v>
      </c>
      <c r="F14" s="86">
        <f t="shared" si="1"/>
        <v>3</v>
      </c>
      <c r="G14" s="86">
        <f t="shared" si="1"/>
        <v>0</v>
      </c>
    </row>
    <row r="15" spans="1:9" x14ac:dyDescent="0.2">
      <c r="A15" s="86" t="s">
        <v>27</v>
      </c>
      <c r="B15" s="86">
        <f>COUNTIFS('Reviews (by dept)'!$F:$F,B$1,'Reviews (by dept)'!$D:$D,'Tab3'!$A15,'Reviews (by dept)'!$B:$B,'Tab3'!B$2)</f>
        <v>0</v>
      </c>
      <c r="C15" s="86">
        <f>COUNTIFS('Reviews (by dept)'!$F:$F,C$1,'Reviews (by dept)'!$D:$D,'Tab3'!$A15,'Reviews (by dept)'!$B:$B,'Tab3'!C$2)</f>
        <v>0</v>
      </c>
      <c r="D15" s="86">
        <f>COUNTIFS('Reviews (by dept)'!$F:$F,D$1,'Reviews (by dept)'!$D:$D,'Tab3'!$A15,'Reviews (by dept)'!$B:$B,'Tab3'!D$2)</f>
        <v>1</v>
      </c>
      <c r="E15" s="86">
        <f>COUNTIFS('Reviews (by dept)'!$F:$F,E$1,'Reviews (by dept)'!$D:$D,'Tab3'!$A15,'Reviews (by dept)'!$B:$B,'Tab3'!E$2)</f>
        <v>0</v>
      </c>
      <c r="F15" s="86">
        <f>COUNTIFS('Reviews (by dept)'!$F:$F,F$1,'Reviews (by dept)'!$D:$D,'Tab3'!$A15,'Reviews (by dept)'!$B:$B,'Tab3'!F$2)</f>
        <v>0</v>
      </c>
      <c r="G15" s="86">
        <f>COUNTIFS('Reviews (by dept)'!$F:$F,G$1,'Reviews (by dept)'!$D:$D,'Tab3'!$A15,'Reviews (by dept)'!$B:$B,'Tab3'!G$2)</f>
        <v>0</v>
      </c>
    </row>
    <row r="16" spans="1:9" x14ac:dyDescent="0.2">
      <c r="A16" s="86" t="s">
        <v>7</v>
      </c>
      <c r="B16" s="86">
        <f>COUNTIFS('Reviews (by dept)'!$F:$F,B$1,'Reviews (by dept)'!$D:$D,'Tab3'!$A16,'Reviews (by dept)'!$B:$B,'Tab3'!B$2)</f>
        <v>8</v>
      </c>
      <c r="C16" s="86">
        <f>COUNTIFS('Reviews (by dept)'!$F:$F,C$1,'Reviews (by dept)'!$D:$D,'Tab3'!$A16,'Reviews (by dept)'!$B:$B,'Tab3'!C$2)</f>
        <v>1</v>
      </c>
      <c r="D16" s="86">
        <f>COUNTIFS('Reviews (by dept)'!$F:$F,D$1,'Reviews (by dept)'!$D:$D,'Tab3'!$A16,'Reviews (by dept)'!$B:$B,'Tab3'!D$2)</f>
        <v>2</v>
      </c>
      <c r="E16" s="86">
        <f>COUNTIFS('Reviews (by dept)'!$F:$F,E$1,'Reviews (by dept)'!$D:$D,'Tab3'!$A16,'Reviews (by dept)'!$B:$B,'Tab3'!E$2)</f>
        <v>0</v>
      </c>
      <c r="F16" s="86">
        <f>COUNTIFS('Reviews (by dept)'!$F:$F,F$1,'Reviews (by dept)'!$D:$D,'Tab3'!$A16,'Reviews (by dept)'!$B:$B,'Tab3'!F$2)</f>
        <v>2</v>
      </c>
      <c r="G16" s="86">
        <f>COUNTIFS('Reviews (by dept)'!$F:$F,G$1,'Reviews (by dept)'!$D:$D,'Tab3'!$A16,'Reviews (by dept)'!$B:$B,'Tab3'!G$2)</f>
        <v>0</v>
      </c>
    </row>
    <row r="17" spans="1:7" x14ac:dyDescent="0.2">
      <c r="A17" s="86" t="s">
        <v>16</v>
      </c>
      <c r="B17" s="86">
        <f>COUNTIFS('Reviews (by dept)'!$F:$F,B$1,'Reviews (by dept)'!$D:$D,'Tab3'!$A17,'Reviews (by dept)'!$B:$B,'Tab3'!B$2)</f>
        <v>3</v>
      </c>
      <c r="C17" s="86">
        <f>COUNTIFS('Reviews (by dept)'!$F:$F,C$1,'Reviews (by dept)'!$D:$D,'Tab3'!$A17,'Reviews (by dept)'!$B:$B,'Tab3'!C$2)</f>
        <v>1</v>
      </c>
      <c r="D17" s="86">
        <f>COUNTIFS('Reviews (by dept)'!$F:$F,D$1,'Reviews (by dept)'!$D:$D,'Tab3'!$A17,'Reviews (by dept)'!$B:$B,'Tab3'!D$2)</f>
        <v>1</v>
      </c>
      <c r="E17" s="86">
        <f>COUNTIFS('Reviews (by dept)'!$F:$F,E$1,'Reviews (by dept)'!$D:$D,'Tab3'!$A17,'Reviews (by dept)'!$B:$B,'Tab3'!E$2)</f>
        <v>0</v>
      </c>
      <c r="F17" s="86">
        <f>COUNTIFS('Reviews (by dept)'!$F:$F,F$1,'Reviews (by dept)'!$D:$D,'Tab3'!$A17,'Reviews (by dept)'!$B:$B,'Tab3'!F$2)</f>
        <v>1</v>
      </c>
      <c r="G17" s="86">
        <f>COUNTIFS('Reviews (by dept)'!$F:$F,G$1,'Reviews (by dept)'!$D:$D,'Tab3'!$A17,'Reviews (by dept)'!$B:$B,'Tab3'!G$2)</f>
        <v>0</v>
      </c>
    </row>
    <row r="18" spans="1:7" x14ac:dyDescent="0.2">
      <c r="A18" s="86" t="s">
        <v>21</v>
      </c>
      <c r="B18" s="86">
        <f>COUNTIFS('Reviews (by dept)'!$F:$F,B$1,'Reviews (by dept)'!$D:$D,'Tab3'!$A18,'Reviews (by dept)'!$B:$B,'Tab3'!B$2)</f>
        <v>0</v>
      </c>
      <c r="C18" s="86">
        <f>COUNTIFS('Reviews (by dept)'!$F:$F,C$1,'Reviews (by dept)'!$D:$D,'Tab3'!$A18,'Reviews (by dept)'!$B:$B,'Tab3'!C$2)</f>
        <v>0</v>
      </c>
      <c r="D18" s="86">
        <f>COUNTIFS('Reviews (by dept)'!$F:$F,D$1,'Reviews (by dept)'!$D:$D,'Tab3'!$A18,'Reviews (by dept)'!$B:$B,'Tab3'!D$2)</f>
        <v>0</v>
      </c>
      <c r="E18" s="86">
        <f>COUNTIFS('Reviews (by dept)'!$F:$F,E$1,'Reviews (by dept)'!$D:$D,'Tab3'!$A18,'Reviews (by dept)'!$B:$B,'Tab3'!E$2)</f>
        <v>0</v>
      </c>
      <c r="F18" s="86">
        <f>COUNTIFS('Reviews (by dept)'!$F:$F,F$1,'Reviews (by dept)'!$D:$D,'Tab3'!$A18,'Reviews (by dept)'!$B:$B,'Tab3'!F$2)</f>
        <v>0</v>
      </c>
      <c r="G18" s="86">
        <f>COUNTIFS('Reviews (by dept)'!$F:$F,G$1,'Reviews (by dept)'!$D:$D,'Tab3'!$A18,'Reviews (by dept)'!$B:$B,'Tab3'!G$2)</f>
        <v>0</v>
      </c>
    </row>
  </sheetData>
  <mergeCells count="6">
    <mergeCell ref="B12:C12"/>
    <mergeCell ref="D12:E12"/>
    <mergeCell ref="F12:G12"/>
    <mergeCell ref="B3:C3"/>
    <mergeCell ref="D3:E3"/>
    <mergeCell ref="F3: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D0068-AFB1-4AA3-8DF5-22C8CBA8F24E}">
  <dimension ref="A1:Y11"/>
  <sheetViews>
    <sheetView topLeftCell="L1" workbookViewId="0">
      <selection activeCell="S18" sqref="S18"/>
    </sheetView>
  </sheetViews>
  <sheetFormatPr defaultRowHeight="12.75" x14ac:dyDescent="0.2"/>
  <cols>
    <col min="1" max="1" width="13.140625" bestFit="1" customWidth="1"/>
    <col min="3" max="3" width="8.7109375" style="137"/>
    <col min="4" max="4" width="8.7109375" style="144"/>
    <col min="6" max="6" width="8.7109375" style="137"/>
    <col min="7" max="7" width="8.7109375" style="144"/>
    <col min="9" max="9" width="8.7109375" style="137"/>
    <col min="10" max="10" width="8.7109375" style="144"/>
    <col min="12" max="12" width="8.7109375" style="137"/>
    <col min="13" max="13" width="8.7109375" style="144"/>
    <col min="16" max="16" width="8.7109375" style="144"/>
    <col min="19" max="19" width="8.7109375" style="144"/>
    <col min="22" max="22" width="8.7109375" style="144"/>
  </cols>
  <sheetData>
    <row r="1" spans="1:25" s="144" customFormat="1" x14ac:dyDescent="0.2">
      <c r="A1" s="98"/>
      <c r="B1" s="95">
        <v>2011</v>
      </c>
      <c r="C1" s="95">
        <v>2011</v>
      </c>
      <c r="D1" s="95"/>
      <c r="E1" s="202">
        <v>2012</v>
      </c>
      <c r="F1" s="202">
        <v>2012</v>
      </c>
      <c r="G1" s="202"/>
      <c r="H1" s="95">
        <v>2013</v>
      </c>
      <c r="I1" s="95">
        <v>2013</v>
      </c>
      <c r="J1" s="95"/>
      <c r="K1" s="95">
        <v>2014</v>
      </c>
      <c r="L1" s="95">
        <v>2014</v>
      </c>
      <c r="M1" s="95"/>
      <c r="N1" s="95">
        <v>2015</v>
      </c>
      <c r="O1" s="95">
        <v>2015</v>
      </c>
      <c r="P1" s="95"/>
      <c r="Q1" s="203">
        <v>2016</v>
      </c>
      <c r="R1" s="203">
        <v>2016</v>
      </c>
      <c r="S1" s="203"/>
      <c r="T1" s="203">
        <v>2017</v>
      </c>
      <c r="U1" s="203">
        <v>2017</v>
      </c>
      <c r="V1" s="203"/>
      <c r="W1" s="203">
        <v>2018</v>
      </c>
      <c r="X1" s="203">
        <v>2018</v>
      </c>
      <c r="Y1" s="87"/>
    </row>
    <row r="2" spans="1:25" x14ac:dyDescent="0.2">
      <c r="A2" s="87"/>
      <c r="B2" s="479">
        <v>2011</v>
      </c>
      <c r="C2" s="479"/>
      <c r="D2" s="479"/>
      <c r="E2" s="480">
        <v>2012</v>
      </c>
      <c r="F2" s="480"/>
      <c r="G2" s="480"/>
      <c r="H2" s="479">
        <v>2013</v>
      </c>
      <c r="I2" s="479"/>
      <c r="J2" s="479"/>
      <c r="K2" s="479">
        <v>2014</v>
      </c>
      <c r="L2" s="479"/>
      <c r="M2" s="479"/>
      <c r="N2" s="479">
        <v>2015</v>
      </c>
      <c r="O2" s="479"/>
      <c r="P2" s="479"/>
      <c r="Q2" s="479">
        <v>2016</v>
      </c>
      <c r="R2" s="479"/>
      <c r="S2" s="479"/>
      <c r="T2" s="479">
        <v>2017</v>
      </c>
      <c r="U2" s="479"/>
      <c r="V2" s="479"/>
      <c r="W2" s="479">
        <v>2018</v>
      </c>
      <c r="X2" s="479"/>
      <c r="Y2" s="479"/>
    </row>
    <row r="3" spans="1:25" ht="25.5" x14ac:dyDescent="0.2">
      <c r="A3" s="87"/>
      <c r="B3" s="199" t="s">
        <v>335</v>
      </c>
      <c r="C3" s="199" t="s">
        <v>336</v>
      </c>
      <c r="D3" s="199" t="s">
        <v>334</v>
      </c>
      <c r="E3" s="199" t="s">
        <v>335</v>
      </c>
      <c r="F3" s="199" t="s">
        <v>336</v>
      </c>
      <c r="G3" s="199" t="s">
        <v>334</v>
      </c>
      <c r="H3" s="199" t="s">
        <v>335</v>
      </c>
      <c r="I3" s="199" t="s">
        <v>336</v>
      </c>
      <c r="J3" s="199" t="s">
        <v>334</v>
      </c>
      <c r="K3" s="199" t="s">
        <v>335</v>
      </c>
      <c r="L3" s="199" t="s">
        <v>336</v>
      </c>
      <c r="M3" s="199" t="s">
        <v>334</v>
      </c>
      <c r="N3" s="199" t="s">
        <v>335</v>
      </c>
      <c r="O3" s="199" t="s">
        <v>336</v>
      </c>
      <c r="P3" s="199" t="s">
        <v>334</v>
      </c>
      <c r="Q3" s="199" t="s">
        <v>335</v>
      </c>
      <c r="R3" s="199" t="s">
        <v>336</v>
      </c>
      <c r="S3" s="199" t="s">
        <v>334</v>
      </c>
      <c r="T3" s="199" t="s">
        <v>335</v>
      </c>
      <c r="U3" s="199" t="s">
        <v>336</v>
      </c>
      <c r="V3" s="199" t="s">
        <v>334</v>
      </c>
      <c r="W3" s="199" t="s">
        <v>335</v>
      </c>
      <c r="X3" s="199" t="s">
        <v>336</v>
      </c>
      <c r="Y3" s="199" t="s">
        <v>334</v>
      </c>
    </row>
    <row r="4" spans="1:25" ht="12.6" customHeight="1" x14ac:dyDescent="0.2">
      <c r="A4" s="87" t="s">
        <v>27</v>
      </c>
      <c r="B4" s="87">
        <f>SUMIFS('Reviews (by dept)'!$I:$I,'Reviews (by dept)'!$D:$D,$A4,'Reviews (by dept)'!$C:$C,B$1)</f>
        <v>0</v>
      </c>
      <c r="C4" s="87">
        <f>SUMIFS('Reviews (by dept)'!$G:$G,'Reviews (by dept)'!$D:$D,$A4,'Reviews (by dept)'!$C:$C,C$1)</f>
        <v>0</v>
      </c>
      <c r="D4" s="87"/>
      <c r="E4" s="87">
        <f>SUMIFS('Reviews (by dept)'!$I:$I,'Reviews (by dept)'!$D:$D,$A4,'Reviews (by dept)'!$C:$C,E$1)</f>
        <v>0</v>
      </c>
      <c r="F4" s="87">
        <f>SUMIFS('Reviews (by dept)'!$G:$G,'Reviews (by dept)'!$D:$D,$A4,'Reviews (by dept)'!$C:$C,F$1)</f>
        <v>0</v>
      </c>
      <c r="G4" s="87"/>
      <c r="H4" s="87">
        <f>SUMIFS('Reviews (by dept)'!$I:$I,'Reviews (by dept)'!$D:$D,$A4,'Reviews (by dept)'!$C:$C,H$1)</f>
        <v>167.928</v>
      </c>
      <c r="I4" s="87">
        <f>SUMIFS('Reviews (by dept)'!$G:$G,'Reviews (by dept)'!$D:$D,$A4,'Reviews (by dept)'!$C:$C,I$1)</f>
        <v>167.928</v>
      </c>
      <c r="J4" s="87"/>
      <c r="K4" s="87">
        <f>SUMIFS('Reviews (by dept)'!$I:$I,'Reviews (by dept)'!$D:$D,$A4,'Reviews (by dept)'!$C:$C,K$1)</f>
        <v>77</v>
      </c>
      <c r="L4" s="87">
        <f>SUMIFS('Reviews (by dept)'!$G:$G,'Reviews (by dept)'!$D:$D,$A4,'Reviews (by dept)'!$C:$C,L$1)</f>
        <v>77</v>
      </c>
      <c r="M4" s="87"/>
      <c r="N4" s="87">
        <f>SUMIFS('Reviews (by dept)'!$I:$I,'Reviews (by dept)'!$D:$D,$A4,'Reviews (by dept)'!$C:$C,N$1)</f>
        <v>0</v>
      </c>
      <c r="O4" s="87">
        <f>SUMIFS('Reviews (by dept)'!$G:$G,'Reviews (by dept)'!$D:$D,$A4,'Reviews (by dept)'!$C:$C,O$1)</f>
        <v>0</v>
      </c>
      <c r="P4" s="87"/>
      <c r="Q4" s="87">
        <f>SUMIFS('Reviews (by dept)'!$I:$I,'Reviews (by dept)'!$D:$D,$A4,'Reviews (by dept)'!$C:$C,Q$1)</f>
        <v>184</v>
      </c>
      <c r="R4" s="87">
        <f>SUMIFS('Reviews (by dept)'!$G:$G,'Reviews (by dept)'!$D:$D,$A4,'Reviews (by dept)'!$C:$C,R$1)</f>
        <v>184</v>
      </c>
      <c r="S4" s="87"/>
      <c r="T4" s="87">
        <f>SUMIFS('Reviews (by dept)'!$I:$I,'Reviews (by dept)'!$D:$D,$A4,'Reviews (by dept)'!$C:$C,T$1)</f>
        <v>0</v>
      </c>
      <c r="U4" s="87">
        <f>SUMIFS('Reviews (by dept)'!$G:$G,'Reviews (by dept)'!$D:$D,$A4,'Reviews (by dept)'!$C:$C,U$1)</f>
        <v>0</v>
      </c>
      <c r="V4" s="87"/>
      <c r="W4" s="87">
        <f>SUMIFS('Reviews (by dept)'!$I:$I,'Reviews (by dept)'!$D:$D,$A4,'Reviews (by dept)'!$C:$C,W$1)</f>
        <v>0</v>
      </c>
      <c r="X4" s="87">
        <f>SUMIFS('Reviews (by dept)'!$G:$G,'Reviews (by dept)'!$D:$D,$A4,'Reviews (by dept)'!$C:$C,X$1)</f>
        <v>0</v>
      </c>
      <c r="Y4" s="87"/>
    </row>
    <row r="5" spans="1:25" x14ac:dyDescent="0.2">
      <c r="A5" s="87" t="s">
        <v>7</v>
      </c>
      <c r="B5" s="87">
        <f>SUMIFS('Reviews (by dept)'!$I:$I,'Reviews (by dept)'!$D:$D,$A5,'Reviews (by dept)'!$C:$C,B$1)</f>
        <v>178.3</v>
      </c>
      <c r="C5" s="87">
        <f>SUMIFS('Reviews (by dept)'!$G:$G,'Reviews (by dept)'!$D:$D,$A5,'Reviews (by dept)'!$C:$C,C$1)</f>
        <v>178.3</v>
      </c>
      <c r="D5" s="87"/>
      <c r="E5" s="87">
        <f>SUMIFS('Reviews (by dept)'!$I:$I,'Reviews (by dept)'!$D:$D,$A5,'Reviews (by dept)'!$C:$C,E$1)</f>
        <v>2811.1</v>
      </c>
      <c r="F5" s="87">
        <f>SUMIFS('Reviews (by dept)'!$G:$G,'Reviews (by dept)'!$D:$D,$A5,'Reviews (by dept)'!$C:$C,F$1)</f>
        <v>7200</v>
      </c>
      <c r="G5" s="87"/>
      <c r="H5" s="87">
        <f>SUMIFS('Reviews (by dept)'!$I:$I,'Reviews (by dept)'!$D:$D,$A5,'Reviews (by dept)'!$C:$C,H$1)</f>
        <v>974.86099999999988</v>
      </c>
      <c r="I5" s="87">
        <f>SUMIFS('Reviews (by dept)'!$G:$G,'Reviews (by dept)'!$D:$D,$A5,'Reviews (by dept)'!$C:$C,I$1)</f>
        <v>1954</v>
      </c>
      <c r="J5" s="87"/>
      <c r="K5" s="87">
        <f>SUMIFS('Reviews (by dept)'!$I:$I,'Reviews (by dept)'!$D:$D,$A5,'Reviews (by dept)'!$C:$C,K$1)</f>
        <v>1640.6</v>
      </c>
      <c r="L5" s="87">
        <f>SUMIFS('Reviews (by dept)'!$G:$G,'Reviews (by dept)'!$D:$D,$A5,'Reviews (by dept)'!$C:$C,L$1)</f>
        <v>4419.8</v>
      </c>
      <c r="M5" s="87"/>
      <c r="N5" s="87">
        <f>SUMIFS('Reviews (by dept)'!$I:$I,'Reviews (by dept)'!$D:$D,$A5,'Reviews (by dept)'!$C:$C,N$1)</f>
        <v>304.02800000000002</v>
      </c>
      <c r="O5" s="87">
        <f>SUMIFS('Reviews (by dept)'!$G:$G,'Reviews (by dept)'!$D:$D,$A5,'Reviews (by dept)'!$C:$C,O$1)</f>
        <v>6300</v>
      </c>
      <c r="P5" s="87"/>
      <c r="Q5" s="87">
        <f>SUMIFS('Reviews (by dept)'!$I:$I,'Reviews (by dept)'!$D:$D,$A5,'Reviews (by dept)'!$C:$C,Q$1)</f>
        <v>963.66666666666663</v>
      </c>
      <c r="R5" s="87">
        <f>SUMIFS('Reviews (by dept)'!$G:$G,'Reviews (by dept)'!$D:$D,$A5,'Reviews (by dept)'!$C:$C,R$1)</f>
        <v>6200</v>
      </c>
      <c r="S5" s="87"/>
      <c r="T5" s="87">
        <f>SUMIFS('Reviews (by dept)'!$I:$I,'Reviews (by dept)'!$D:$D,$A5,'Reviews (by dept)'!$C:$C,T$1)</f>
        <v>2606.89</v>
      </c>
      <c r="U5" s="87">
        <f>SUMIFS('Reviews (by dept)'!$G:$G,'Reviews (by dept)'!$D:$D,$A5,'Reviews (by dept)'!$C:$C,U$1)</f>
        <v>4044.4</v>
      </c>
      <c r="V5" s="87"/>
      <c r="W5" s="87">
        <f>SUMIFS('Reviews (by dept)'!$I:$I,'Reviews (by dept)'!$D:$D,$A5,'Reviews (by dept)'!$C:$C,W$1)</f>
        <v>7415.121056</v>
      </c>
      <c r="X5" s="87">
        <f>SUMIFS('Reviews (by dept)'!$G:$G,'Reviews (by dept)'!$D:$D,$A5,'Reviews (by dept)'!$C:$C,X$1)</f>
        <v>10858.6</v>
      </c>
      <c r="Y5" s="87"/>
    </row>
    <row r="6" spans="1:25" x14ac:dyDescent="0.2">
      <c r="A6" s="87" t="s">
        <v>16</v>
      </c>
      <c r="B6" s="87">
        <f>SUMIFS('Reviews (by dept)'!$I:$I,'Reviews (by dept)'!$D:$D,$A6,'Reviews (by dept)'!$C:$C,B$1)</f>
        <v>7</v>
      </c>
      <c r="C6" s="87">
        <f>SUMIFS('Reviews (by dept)'!$G:$G,'Reviews (by dept)'!$D:$D,$A6,'Reviews (by dept)'!$C:$C,C$1)</f>
        <v>7</v>
      </c>
      <c r="D6" s="87"/>
      <c r="E6" s="87">
        <f>SUMIFS('Reviews (by dept)'!$I:$I,'Reviews (by dept)'!$D:$D,$A6,'Reviews (by dept)'!$C:$C,E$1)</f>
        <v>681.10000000000014</v>
      </c>
      <c r="F6" s="87">
        <f>SUMIFS('Reviews (by dept)'!$G:$G,'Reviews (by dept)'!$D:$D,$A6,'Reviews (by dept)'!$C:$C,F$1)</f>
        <v>2017.8</v>
      </c>
      <c r="G6" s="87"/>
      <c r="H6" s="87">
        <f>SUMIFS('Reviews (by dept)'!$I:$I,'Reviews (by dept)'!$D:$D,$A6,'Reviews (by dept)'!$C:$C,H$1)</f>
        <v>79.599999999999994</v>
      </c>
      <c r="I6" s="87">
        <f>SUMIFS('Reviews (by dept)'!$G:$G,'Reviews (by dept)'!$D:$D,$A6,'Reviews (by dept)'!$C:$C,I$1)</f>
        <v>79.900000000000006</v>
      </c>
      <c r="J6" s="87"/>
      <c r="K6" s="87">
        <f>SUMIFS('Reviews (by dept)'!$I:$I,'Reviews (by dept)'!$D:$D,$A6,'Reviews (by dept)'!$C:$C,K$1)</f>
        <v>447.8</v>
      </c>
      <c r="L6" s="87">
        <f>SUMIFS('Reviews (by dept)'!$G:$G,'Reviews (by dept)'!$D:$D,$A6,'Reviews (by dept)'!$C:$C,L$1)</f>
        <v>1885.3333333333333</v>
      </c>
      <c r="M6" s="87"/>
      <c r="N6" s="87">
        <f>SUMIFS('Reviews (by dept)'!$I:$I,'Reviews (by dept)'!$D:$D,$A6,'Reviews (by dept)'!$C:$C,N$1)</f>
        <v>1255.1300000000001</v>
      </c>
      <c r="O6" s="87">
        <f>SUMIFS('Reviews (by dept)'!$G:$G,'Reviews (by dept)'!$D:$D,$A6,'Reviews (by dept)'!$C:$C,O$1)</f>
        <v>4104.3999999999996</v>
      </c>
      <c r="P6" s="87"/>
      <c r="Q6" s="87">
        <f>SUMIFS('Reviews (by dept)'!$I:$I,'Reviews (by dept)'!$D:$D,$A6,'Reviews (by dept)'!$C:$C,Q$1)</f>
        <v>1050.4097999999999</v>
      </c>
      <c r="R6" s="87">
        <f>SUMIFS('Reviews (by dept)'!$G:$G,'Reviews (by dept)'!$D:$D,$A6,'Reviews (by dept)'!$C:$C,R$1)</f>
        <v>1778.4098000000001</v>
      </c>
      <c r="S6" s="87"/>
      <c r="T6" s="87">
        <f>SUMIFS('Reviews (by dept)'!$I:$I,'Reviews (by dept)'!$D:$D,$A6,'Reviews (by dept)'!$C:$C,T$1)</f>
        <v>0</v>
      </c>
      <c r="U6" s="87">
        <f>SUMIFS('Reviews (by dept)'!$G:$G,'Reviews (by dept)'!$D:$D,$A6,'Reviews (by dept)'!$C:$C,U$1)</f>
        <v>0</v>
      </c>
      <c r="V6" s="87"/>
      <c r="W6" s="87">
        <f>SUMIFS('Reviews (by dept)'!$I:$I,'Reviews (by dept)'!$D:$D,$A6,'Reviews (by dept)'!$C:$C,W$1)</f>
        <v>908.9</v>
      </c>
      <c r="X6" s="87">
        <f>SUMIFS('Reviews (by dept)'!$G:$G,'Reviews (by dept)'!$D:$D,$A6,'Reviews (by dept)'!$C:$C,X$1)</f>
        <v>2222.1999999999998</v>
      </c>
      <c r="Y6" s="87"/>
    </row>
    <row r="7" spans="1:25" x14ac:dyDescent="0.2">
      <c r="A7" s="87" t="s">
        <v>21</v>
      </c>
      <c r="B7" s="87">
        <f>SUMIFS('Reviews (by dept)'!$I:$I,'Reviews (by dept)'!$D:$D,$A7,'Reviews (by dept)'!$C:$C,B$1)</f>
        <v>0</v>
      </c>
      <c r="C7" s="87">
        <f>SUMIFS('Reviews (by dept)'!$G:$G,'Reviews (by dept)'!$D:$D,$A7,'Reviews (by dept)'!$C:$C,C$1)</f>
        <v>0</v>
      </c>
      <c r="D7" s="87"/>
      <c r="E7" s="87">
        <f>SUMIFS('Reviews (by dept)'!$I:$I,'Reviews (by dept)'!$D:$D,$A7,'Reviews (by dept)'!$C:$C,E$1)</f>
        <v>0</v>
      </c>
      <c r="F7" s="87">
        <f>SUMIFS('Reviews (by dept)'!$G:$G,'Reviews (by dept)'!$D:$D,$A7,'Reviews (by dept)'!$C:$C,F$1)</f>
        <v>0</v>
      </c>
      <c r="G7" s="87"/>
      <c r="H7" s="87">
        <f>SUMIFS('Reviews (by dept)'!$I:$I,'Reviews (by dept)'!$D:$D,$A7,'Reviews (by dept)'!$C:$C,H$1)</f>
        <v>109</v>
      </c>
      <c r="I7" s="87">
        <f>SUMIFS('Reviews (by dept)'!$G:$G,'Reviews (by dept)'!$D:$D,$A7,'Reviews (by dept)'!$C:$C,I$1)</f>
        <v>109</v>
      </c>
      <c r="J7" s="87"/>
      <c r="K7" s="87">
        <f>SUMIFS('Reviews (by dept)'!$I:$I,'Reviews (by dept)'!$D:$D,$A7,'Reviews (by dept)'!$C:$C,K$1)</f>
        <v>0</v>
      </c>
      <c r="L7" s="87">
        <f>SUMIFS('Reviews (by dept)'!$G:$G,'Reviews (by dept)'!$D:$D,$A7,'Reviews (by dept)'!$C:$C,L$1)</f>
        <v>0</v>
      </c>
      <c r="M7" s="87"/>
      <c r="N7" s="87">
        <f>SUMIFS('Reviews (by dept)'!$I:$I,'Reviews (by dept)'!$D:$D,$A7,'Reviews (by dept)'!$C:$C,N$1)</f>
        <v>0</v>
      </c>
      <c r="O7" s="87">
        <f>SUMIFS('Reviews (by dept)'!$G:$G,'Reviews (by dept)'!$D:$D,$A7,'Reviews (by dept)'!$C:$C,O$1)</f>
        <v>0</v>
      </c>
      <c r="P7" s="87"/>
      <c r="Q7" s="87">
        <f>SUMIFS('Reviews (by dept)'!$I:$I,'Reviews (by dept)'!$D:$D,$A7,'Reviews (by dept)'!$C:$C,Q$1)</f>
        <v>0</v>
      </c>
      <c r="R7" s="87">
        <f>SUMIFS('Reviews (by dept)'!$G:$G,'Reviews (by dept)'!$D:$D,$A7,'Reviews (by dept)'!$C:$C,R$1)</f>
        <v>0</v>
      </c>
      <c r="S7" s="87"/>
      <c r="T7" s="87">
        <f>SUMIFS('Reviews (by dept)'!$I:$I,'Reviews (by dept)'!$D:$D,$A7,'Reviews (by dept)'!$C:$C,T$1)</f>
        <v>0</v>
      </c>
      <c r="U7" s="87">
        <f>SUMIFS('Reviews (by dept)'!$G:$G,'Reviews (by dept)'!$D:$D,$A7,'Reviews (by dept)'!$C:$C,U$1)</f>
        <v>0</v>
      </c>
      <c r="V7" s="87"/>
      <c r="W7" s="87">
        <f>SUMIFS('Reviews (by dept)'!$I:$I,'Reviews (by dept)'!$D:$D,$A7,'Reviews (by dept)'!$C:$C,W$1)</f>
        <v>0</v>
      </c>
      <c r="X7" s="87">
        <f>SUMIFS('Reviews (by dept)'!$G:$G,'Reviews (by dept)'!$D:$D,$A7,'Reviews (by dept)'!$C:$C,X$1)</f>
        <v>0</v>
      </c>
      <c r="Y7" s="87"/>
    </row>
    <row r="8" spans="1:25" x14ac:dyDescent="0.2">
      <c r="A8" s="87" t="s">
        <v>63</v>
      </c>
      <c r="B8" s="87">
        <f>SUMIFS('Reviews (by dept)'!$I:$I,'Reviews (by dept)'!$D:$D,$A8,'Reviews (by dept)'!$C:$C,B$1)</f>
        <v>0</v>
      </c>
      <c r="C8" s="87">
        <f>SUMIFS('Reviews (by dept)'!$G:$G,'Reviews (by dept)'!$D:$D,$A8,'Reviews (by dept)'!$C:$C,C$1)</f>
        <v>0</v>
      </c>
      <c r="D8" s="87"/>
      <c r="E8" s="87">
        <f>SUMIFS('Reviews (by dept)'!$I:$I,'Reviews (by dept)'!$D:$D,$A8,'Reviews (by dept)'!$C:$C,E$1)</f>
        <v>0</v>
      </c>
      <c r="F8" s="87">
        <f>SUMIFS('Reviews (by dept)'!$G:$G,'Reviews (by dept)'!$D:$D,$A8,'Reviews (by dept)'!$C:$C,F$1)</f>
        <v>0</v>
      </c>
      <c r="G8" s="87"/>
      <c r="H8" s="87">
        <f>SUMIFS('Reviews (by dept)'!$I:$I,'Reviews (by dept)'!$D:$D,$A8,'Reviews (by dept)'!$C:$C,H$1)</f>
        <v>0</v>
      </c>
      <c r="I8" s="87">
        <f>SUMIFS('Reviews (by dept)'!$G:$G,'Reviews (by dept)'!$D:$D,$A8,'Reviews (by dept)'!$C:$C,I$1)</f>
        <v>0</v>
      </c>
      <c r="J8" s="87"/>
      <c r="K8" s="87">
        <f>SUMIFS('Reviews (by dept)'!$I:$I,'Reviews (by dept)'!$D:$D,$A8,'Reviews (by dept)'!$C:$C,K$1)</f>
        <v>0</v>
      </c>
      <c r="L8" s="87">
        <f>SUMIFS('Reviews (by dept)'!$G:$G,'Reviews (by dept)'!$D:$D,$A8,'Reviews (by dept)'!$C:$C,L$1)</f>
        <v>0</v>
      </c>
      <c r="M8" s="87"/>
      <c r="N8" s="87">
        <f>SUMIFS('Reviews (by dept)'!$I:$I,'Reviews (by dept)'!$D:$D,$A8,'Reviews (by dept)'!$C:$C,N$1)</f>
        <v>0</v>
      </c>
      <c r="O8" s="87">
        <f>SUMIFS('Reviews (by dept)'!$G:$G,'Reviews (by dept)'!$D:$D,$A8,'Reviews (by dept)'!$C:$C,O$1)</f>
        <v>0</v>
      </c>
      <c r="P8" s="87"/>
      <c r="Q8" s="87">
        <f>SUMIFS('Reviews (by dept)'!$I:$I,'Reviews (by dept)'!$D:$D,$A8,'Reviews (by dept)'!$C:$C,Q$1)</f>
        <v>0</v>
      </c>
      <c r="R8" s="87">
        <f>SUMIFS('Reviews (by dept)'!$G:$G,'Reviews (by dept)'!$D:$D,$A8,'Reviews (by dept)'!$C:$C,R$1)</f>
        <v>0</v>
      </c>
      <c r="S8" s="87"/>
      <c r="T8" s="87">
        <f>SUMIFS('Reviews (by dept)'!$I:$I,'Reviews (by dept)'!$D:$D,$A8,'Reviews (by dept)'!$C:$C,T$1)</f>
        <v>2206.6999999999998</v>
      </c>
      <c r="U8" s="87">
        <f>SUMIFS('Reviews (by dept)'!$G:$G,'Reviews (by dept)'!$D:$D,$A8,'Reviews (by dept)'!$C:$C,U$1)</f>
        <v>3773.3</v>
      </c>
      <c r="V8" s="87"/>
      <c r="W8" s="87">
        <f>SUMIFS('Reviews (by dept)'!$I:$I,'Reviews (by dept)'!$D:$D,$A8,'Reviews (by dept)'!$C:$C,W$1)</f>
        <v>3763.2000000000007</v>
      </c>
      <c r="X8" s="87">
        <f>SUMIFS('Reviews (by dept)'!$G:$G,'Reviews (by dept)'!$D:$D,$A8,'Reviews (by dept)'!$C:$C,X$1)</f>
        <v>3763.2000000000007</v>
      </c>
      <c r="Y8" s="87"/>
    </row>
    <row r="9" spans="1:25" s="144" customFormat="1" x14ac:dyDescent="0.2">
      <c r="A9" s="87" t="s">
        <v>337</v>
      </c>
      <c r="B9" s="87"/>
      <c r="C9" s="87"/>
      <c r="D9" s="204">
        <f>'SID totals'!B5</f>
        <v>8628.6230878479964</v>
      </c>
      <c r="E9" s="87"/>
      <c r="F9" s="87"/>
      <c r="G9" s="204">
        <f>'SID totals'!B6</f>
        <v>8801.9190474258448</v>
      </c>
      <c r="H9" s="87"/>
      <c r="I9" s="87"/>
      <c r="J9" s="204">
        <f>'SID totals'!B7</f>
        <v>11406.860450010212</v>
      </c>
      <c r="K9" s="87"/>
      <c r="L9" s="87"/>
      <c r="M9" s="204">
        <f>'SID totals'!B8</f>
        <v>11700.471985525361</v>
      </c>
      <c r="N9" s="87"/>
      <c r="O9" s="87"/>
      <c r="P9" s="204">
        <f>'SID totals'!B9</f>
        <v>12135.596438341629</v>
      </c>
      <c r="Q9" s="87"/>
      <c r="R9" s="87"/>
      <c r="S9" s="204">
        <f>'SID totals'!B10</f>
        <v>13377.131388476799</v>
      </c>
      <c r="T9" s="87"/>
      <c r="U9" s="87"/>
      <c r="V9" s="205">
        <v>13932.538125822501</v>
      </c>
      <c r="W9" s="87"/>
      <c r="X9" s="87"/>
      <c r="Y9" s="205">
        <f>'SID totals'!B12</f>
        <v>14637.518</v>
      </c>
    </row>
    <row r="10" spans="1:25" x14ac:dyDescent="0.2">
      <c r="A10" s="87" t="s">
        <v>391</v>
      </c>
      <c r="B10" s="87">
        <f>AVERAGEIF(Table69[Review Year],B$1,Table69[Spending directly evaluated])</f>
        <v>61.766666666666673</v>
      </c>
      <c r="C10" s="87"/>
      <c r="D10" s="87"/>
      <c r="E10" s="87">
        <f>AVERAGEIF(Table69[Review Year],E$1,Table69[Spending directly evaluated])</f>
        <v>268.6307692307692</v>
      </c>
      <c r="F10" s="87"/>
      <c r="G10" s="87"/>
      <c r="H10" s="87">
        <f>AVERAGEIF(Table69[Review Year],H$1,Table69[Spending directly evaluated])</f>
        <v>102.41453846153847</v>
      </c>
      <c r="I10" s="87">
        <f>AVERAGEIF('Reviews (by dept)'!$C:$C,I$1,'Reviews (by dept)'!$G:$G)</f>
        <v>177.75600000000003</v>
      </c>
      <c r="J10" s="87"/>
      <c r="K10" s="87">
        <f>AVERAGEIF(Table69[Review Year],K$1,Table69[Spending directly evaluated])</f>
        <v>270.67500000000001</v>
      </c>
      <c r="L10" s="87"/>
      <c r="M10" s="87"/>
      <c r="N10" s="87">
        <f>AVERAGEIF(Table69[Review Year],N$1,Table69[Spending directly evaluated])</f>
        <v>311.83160000000004</v>
      </c>
      <c r="O10" s="87"/>
      <c r="P10" s="87"/>
      <c r="Q10" s="87">
        <f>AVERAGEIF(Table69[Review Year],Q$1,Table69[Spending directly evaluated])</f>
        <v>366.34607777777774</v>
      </c>
      <c r="R10" s="87"/>
      <c r="S10" s="87"/>
      <c r="T10" s="87">
        <f>AVERAGEIF(Table69[Review Year],T$1,Table69[Spending directly evaluated])</f>
        <v>981.94443657142858</v>
      </c>
      <c r="U10" s="87"/>
      <c r="V10" s="87"/>
      <c r="W10" s="87">
        <f>AVERAGEIF(Table69[Review Year],W$1,Table69[Spending directly evaluated])</f>
        <v>1002.72</v>
      </c>
      <c r="X10" s="87"/>
      <c r="Y10" s="87"/>
    </row>
    <row r="11" spans="1:25" s="144" customFormat="1" x14ac:dyDescent="0.2"/>
  </sheetData>
  <mergeCells count="8">
    <mergeCell ref="Q2:S2"/>
    <mergeCell ref="T2:V2"/>
    <mergeCell ref="W2:Y2"/>
    <mergeCell ref="B2:D2"/>
    <mergeCell ref="H2:J2"/>
    <mergeCell ref="E2:G2"/>
    <mergeCell ref="K2:M2"/>
    <mergeCell ref="N2:P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Reviews</vt:lpstr>
      <vt:lpstr>Reviews (by dept)</vt:lpstr>
      <vt:lpstr>Reviews (cssf)</vt:lpstr>
      <vt:lpstr>Annex 2</vt:lpstr>
      <vt:lpstr>Annex 3</vt:lpstr>
      <vt:lpstr>Tab1</vt:lpstr>
      <vt:lpstr>Tab2</vt:lpstr>
      <vt:lpstr>Tab3</vt:lpstr>
      <vt:lpstr>Fig2</vt:lpstr>
      <vt:lpstr>Fig3</vt:lpstr>
      <vt:lpstr>Fig4</vt:lpstr>
      <vt:lpstr>Fig5</vt:lpstr>
      <vt:lpstr>Fig6</vt:lpstr>
      <vt:lpstr>SID</vt:lpstr>
      <vt:lpstr>SID totals</vt:lpstr>
      <vt:lpstr>SID raw cssf</vt:lpstr>
      <vt:lpstr>SID raw PF</vt:lpstr>
      <vt:lpstr>SID raw</vt:lpstr>
      <vt:lpstr>CSSF somalia</vt:lpstr>
      <vt:lpstr>ICF sample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abaker</dc:creator>
  <cp:lastModifiedBy>Jeremy Gaines (jgaines@CGDEV.ORG)</cp:lastModifiedBy>
  <cp:lastPrinted>2018-11-20T14:40:56Z</cp:lastPrinted>
  <dcterms:created xsi:type="dcterms:W3CDTF">2018-11-15T14:59:23Z</dcterms:created>
  <dcterms:modified xsi:type="dcterms:W3CDTF">2019-04-10T18:28:21Z</dcterms:modified>
</cp:coreProperties>
</file>