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Migration2\NIS blog\"/>
    </mc:Choice>
  </mc:AlternateContent>
  <bookViews>
    <workbookView xWindow="0" yWindow="0" windowWidth="28800" windowHeight="12330"/>
  </bookViews>
  <sheets>
    <sheet name="Mai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E41" i="1"/>
  <c r="E15" i="1"/>
  <c r="L47" i="1" l="1"/>
  <c r="L52" i="1" s="1"/>
  <c r="J23" i="1" l="1"/>
  <c r="D70" i="1" l="1"/>
  <c r="C70" i="1"/>
  <c r="E69" i="1"/>
  <c r="E65" i="1"/>
  <c r="E64" i="1"/>
  <c r="C63" i="1"/>
  <c r="E62" i="1"/>
  <c r="E60" i="1"/>
  <c r="D50" i="1"/>
  <c r="C50" i="1"/>
  <c r="E49" i="1"/>
  <c r="K49" i="1" s="1"/>
  <c r="E45" i="1"/>
  <c r="K45" i="1" s="1"/>
  <c r="E44" i="1"/>
  <c r="K44" i="1" s="1"/>
  <c r="C43" i="1"/>
  <c r="E42" i="1"/>
  <c r="K42" i="1" s="1"/>
  <c r="E40" i="1"/>
  <c r="C28" i="1"/>
  <c r="D28" i="1"/>
  <c r="E14" i="1"/>
  <c r="C17" i="1"/>
  <c r="E29" i="1"/>
  <c r="E27" i="1"/>
  <c r="E25" i="1"/>
  <c r="E24" i="1"/>
  <c r="E23" i="1"/>
  <c r="E22" i="1"/>
  <c r="E21" i="1"/>
  <c r="E16" i="1"/>
  <c r="E19" i="1"/>
  <c r="E18" i="1"/>
  <c r="G75" i="1" l="1"/>
  <c r="I75" i="1"/>
  <c r="N75" i="1"/>
  <c r="H75" i="1"/>
  <c r="M75" i="1"/>
  <c r="L75" i="1"/>
  <c r="F75" i="1"/>
  <c r="K75" i="1"/>
  <c r="J75" i="1"/>
  <c r="H54" i="1"/>
  <c r="G54" i="1"/>
  <c r="F54" i="1"/>
  <c r="E28" i="1"/>
  <c r="H33" i="1"/>
  <c r="G33" i="1"/>
  <c r="J33" i="1"/>
  <c r="F33" i="1"/>
  <c r="I33" i="1"/>
  <c r="E63" i="1"/>
  <c r="L74" i="1"/>
  <c r="H74" i="1"/>
  <c r="F74" i="1"/>
  <c r="K74" i="1"/>
  <c r="G74" i="1"/>
  <c r="M74" i="1"/>
  <c r="N74" i="1"/>
  <c r="J74" i="1"/>
  <c r="I74" i="1"/>
  <c r="E17" i="1"/>
  <c r="H31" i="1" s="1"/>
  <c r="J32" i="1"/>
  <c r="G32" i="1"/>
  <c r="I32" i="1"/>
  <c r="F32" i="1"/>
  <c r="H32" i="1"/>
  <c r="E43" i="1"/>
  <c r="K43" i="1" s="1"/>
  <c r="K52" i="1" s="1"/>
  <c r="O52" i="1" s="1"/>
  <c r="G53" i="1"/>
  <c r="H53" i="1"/>
  <c r="F53" i="1"/>
  <c r="E50" i="1"/>
  <c r="F52" i="1" s="1"/>
  <c r="I52" i="1"/>
  <c r="E70" i="1"/>
  <c r="J31" i="1"/>
  <c r="F31" i="1" l="1"/>
  <c r="I31" i="1"/>
  <c r="G31" i="1"/>
  <c r="G55" i="1"/>
  <c r="G52" i="1"/>
  <c r="K76" i="1"/>
  <c r="H76" i="1"/>
  <c r="F72" i="1"/>
  <c r="H55" i="1"/>
  <c r="H72" i="1"/>
  <c r="H52" i="1"/>
  <c r="L72" i="1"/>
  <c r="K72" i="1"/>
  <c r="M72" i="1"/>
  <c r="G72" i="1"/>
  <c r="J72" i="1"/>
  <c r="J76" i="1"/>
  <c r="J34" i="1"/>
  <c r="F55" i="1"/>
  <c r="I72" i="1"/>
  <c r="N72" i="1"/>
  <c r="G34" i="1"/>
  <c r="F76" i="1"/>
  <c r="N76" i="1"/>
  <c r="I34" i="1"/>
  <c r="H34" i="1"/>
  <c r="L76" i="1"/>
  <c r="I76" i="1"/>
  <c r="F34" i="1"/>
  <c r="M76" i="1"/>
  <c r="G76" i="1"/>
</calcChain>
</file>

<file path=xl/comments1.xml><?xml version="1.0" encoding="utf-8"?>
<comments xmlns="http://schemas.openxmlformats.org/spreadsheetml/2006/main">
  <authors>
    <author>Michael Clemens (mclemens@cgdev.org)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>Source: Dept. of Homeland Security, 2016 Yearbook of Immigration Statistics, Table 6
https://www.dhs.gov/immigration-statistics/yearbook/2016/table6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Source: Most categories from David Bier and Stuart Anderson (2018), "House GOP Proposes Largest Restriction on Legal Immigrants Since the 1920s". https://www.cato.org/blog/house-gop-proposes-largest-restriction-legal-immigrants-1920s
Detailed employment-based visa breakdown from the text of the bill: https://judiciary.house.gov/wp-content/uploads/2018/01/Securing-Americas-Future-Act.pdf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>Source for ethnic breakdown of EB-1, EB-2, and EB-3 in the New Immigrant Survey data: 
Jasso, G. (2009). Ethnicity and the immigration of highly skilled workers to the United States. International journal of manpower, 30(1/2), 26-42. Table 4, p. 31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Parolees, Children born abroad to alien residents, NACARA, Cancellation of removal, HRIFA, and others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 shapeId="0">
      <text>
        <r>
          <rPr>
            <b/>
            <sz val="9"/>
            <color indexed="81"/>
            <rFont val="Tahoma"/>
            <family val="2"/>
          </rPr>
          <t>Source: Dept. of Homeland Security, 2016 Yearbook of Immigration Statistics, Table 6
https://www.dhs.gov/immigration-statistics/yearbook/2016/table6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8" authorId="0" shapeId="0">
      <text>
        <r>
          <rPr>
            <b/>
            <sz val="9"/>
            <color indexed="81"/>
            <rFont val="Tahoma"/>
            <family val="2"/>
          </rPr>
          <t>Source: Most categories from David Bier and Stuart Anderson (2018), "House GOP Proposes Largest Restriction on Legal Immigrants Since the 1920s". https://www.cato.org/blog/house-gop-proposes-largest-restriction-legal-immigrants-1920s
Detailed employment-based visa breakdown from the text of the bill: https://judiciary.house.gov/wp-content/uploads/2018/01/Securing-Americas-Future-Act.pdf</t>
        </r>
      </text>
    </comment>
    <comment ref="C58" authorId="0" shapeId="0">
      <text>
        <r>
          <rPr>
            <b/>
            <sz val="9"/>
            <color indexed="81"/>
            <rFont val="Tahoma"/>
            <family val="2"/>
          </rPr>
          <t>Source: Dept. of Homeland Security, 2016 Yearbook of Immigration Statistics, Table 6
https://www.dhs.gov/immigration-statistics/yearbook/2016/table6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8" authorId="0" shapeId="0">
      <text>
        <r>
          <rPr>
            <b/>
            <sz val="9"/>
            <color rgb="FF000000"/>
            <rFont val="Tahoma"/>
            <family val="2"/>
          </rPr>
          <t xml:space="preserve">Source: Most categories from David Bier and Stuart Anderson (2018), "House GOP Proposes Largest Restriction on Legal Immigrants Since the 1920s". https://www.cato.org/blog/house-gop-proposes-largest-restriction-legal-immigrants-1920s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Detailed employment-based visa breakdown from the text of the bill: https://judiciary.house.gov/wp-content/uploads/2018/01/Securing-Americas-Future-Act.pdf</t>
        </r>
      </text>
    </comment>
  </commentList>
</comments>
</file>

<file path=xl/sharedStrings.xml><?xml version="1.0" encoding="utf-8"?>
<sst xmlns="http://schemas.openxmlformats.org/spreadsheetml/2006/main" count="118" uniqueCount="58">
  <si>
    <t>Michael A. Clemens and Jimmy Graham</t>
  </si>
  <si>
    <t>Type and class of admission</t>
  </si>
  <si>
    <t>First: Priority workers</t>
  </si>
  <si>
    <t>Fourth: Certain special immigrants</t>
  </si>
  <si>
    <t>Fifth: Employment creation (investors)</t>
  </si>
  <si>
    <t>Diversity</t>
  </si>
  <si>
    <t>Other</t>
  </si>
  <si>
    <t>Securing America's Future Act, HR 4760</t>
  </si>
  <si>
    <t>Actual inflow, most recent year available (2016)</t>
  </si>
  <si>
    <t>Change</t>
  </si>
  <si>
    <t>White, non-Hispanic</t>
  </si>
  <si>
    <t>Asian, non-Hispanic</t>
  </si>
  <si>
    <t>Black, non-Hispanic</t>
  </si>
  <si>
    <t>Hispanic, all races</t>
  </si>
  <si>
    <t>Parents of U.S. citizens</t>
  </si>
  <si>
    <t>Spouses of U.S. citizens</t>
  </si>
  <si>
    <t>Adult children of U.S. citizens (married &amp; unmarried)</t>
  </si>
  <si>
    <t>Siblings of U.S. citizens</t>
  </si>
  <si>
    <t>Second: Professionals with advanced degrees</t>
  </si>
  <si>
    <t>Third: Skilled workers, professionals, and unskilled</t>
  </si>
  <si>
    <t>Spouses, children, &amp; unmarried sons/daughters of LPR</t>
  </si>
  <si>
    <t>Pacific, non-Hispanic</t>
  </si>
  <si>
    <t>Notes: Omits "two or more races", includes "Hispanic origin, no information on race"</t>
  </si>
  <si>
    <t>Refugees and Asylees</t>
  </si>
  <si>
    <t>Effect of recent immigration reform proposals on the composition of new U.S. immigration flows</t>
  </si>
  <si>
    <t>Racial composition</t>
  </si>
  <si>
    <t>Educational attainment composition</t>
  </si>
  <si>
    <t>Religious composition</t>
  </si>
  <si>
    <t>Change in composition of annual immigration inflow</t>
  </si>
  <si>
    <t>High school not completed</t>
  </si>
  <si>
    <t>Average years of schooling</t>
  </si>
  <si>
    <t>High school and  some college</t>
  </si>
  <si>
    <t>Catholic</t>
  </si>
  <si>
    <t>Orthodox Christian</t>
  </si>
  <si>
    <t>Protestant</t>
  </si>
  <si>
    <t>Muslim</t>
  </si>
  <si>
    <t>Jewish</t>
  </si>
  <si>
    <t>Buddhist</t>
  </si>
  <si>
    <t>No religion</t>
  </si>
  <si>
    <t>Other religion</t>
  </si>
  <si>
    <t>Hindu</t>
  </si>
  <si>
    <t>Total employment preference</t>
  </si>
  <si>
    <t>Before</t>
  </si>
  <si>
    <t>After</t>
  </si>
  <si>
    <t>University or greater</t>
  </si>
  <si>
    <t xml:space="preserve"> </t>
  </si>
  <si>
    <t>To use this tool to estimate the effects of any given immigration reform, fill in the corresponding visa quotas in blue with your own numbers</t>
  </si>
  <si>
    <t>Ratio:</t>
  </si>
  <si>
    <t>Workers with less than high school eliminated by visa cuts</t>
  </si>
  <si>
    <t>Workers with university or more added by visa expansion</t>
  </si>
  <si>
    <t>n/a</t>
  </si>
  <si>
    <t>Minor children of U.S. citizens</t>
  </si>
  <si>
    <t>Updated February 6, 2018</t>
  </si>
  <si>
    <t>&lt;-- Unneeded, no change</t>
  </si>
  <si>
    <t>Assumes composition of children in F2A and F4 is same as adults receiving that visa.</t>
  </si>
  <si>
    <t>Note: Assumes composition of children in F2A and F4 is same as adults receiving that visa.</t>
  </si>
  <si>
    <t>https://www.cgdev.org/blog/how-trump-administrations-plan-would-shape-composition-immigration-first-numerical-estimates</t>
  </si>
  <si>
    <t xml:space="preserve">Analysis for the blog post, "How the Trump Administration’s Plan Would Shape the Composition of Immigration: First Numerical Estimates"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</si>
</sst>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\+#,##0;\-#,##0"/>
    <numFmt numFmtId="166" formatCode="0.0%"/>
    <numFmt numFmtId="167" formatCode="0.0"/>
  </numFmts>
  <fonts count="1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9"/>
      <color rgb="FF000000"/>
      <name val="Tahoma"/>
      <family val="2"/>
    </font>
    <font>
      <sz val="8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quotePrefix="1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0" fillId="0" borderId="1" xfId="0" applyBorder="1"/>
    <xf numFmtId="0" fontId="0" fillId="0" borderId="1" xfId="0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/>
    <xf numFmtId="3" fontId="5" fillId="0" borderId="0" xfId="0" applyNumberFormat="1" applyFont="1"/>
    <xf numFmtId="0" fontId="4" fillId="0" borderId="0" xfId="0" applyFont="1"/>
    <xf numFmtId="3" fontId="4" fillId="0" borderId="2" xfId="0" applyNumberFormat="1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0" fontId="6" fillId="0" borderId="0" xfId="0" applyFont="1"/>
    <xf numFmtId="0" fontId="7" fillId="0" borderId="0" xfId="0" applyFont="1"/>
    <xf numFmtId="0" fontId="0" fillId="0" borderId="1" xfId="0" applyFill="1" applyBorder="1"/>
    <xf numFmtId="0" fontId="0" fillId="0" borderId="1" xfId="0" applyFill="1" applyBorder="1" applyAlignment="1">
      <alignment wrapText="1"/>
    </xf>
    <xf numFmtId="166" fontId="0" fillId="0" borderId="0" xfId="0" applyNumberFormat="1"/>
    <xf numFmtId="166" fontId="8" fillId="0" borderId="0" xfId="0" applyNumberFormat="1" applyFont="1"/>
    <xf numFmtId="0" fontId="9" fillId="0" borderId="0" xfId="0" applyFont="1"/>
    <xf numFmtId="3" fontId="9" fillId="0" borderId="0" xfId="0" applyNumberFormat="1" applyFont="1"/>
    <xf numFmtId="165" fontId="9" fillId="0" borderId="0" xfId="0" applyNumberFormat="1" applyFont="1"/>
    <xf numFmtId="164" fontId="9" fillId="0" borderId="0" xfId="0" applyNumberFormat="1" applyFont="1"/>
    <xf numFmtId="3" fontId="5" fillId="0" borderId="1" xfId="0" applyNumberFormat="1" applyFont="1" applyBorder="1" applyAlignment="1">
      <alignment wrapText="1"/>
    </xf>
    <xf numFmtId="3" fontId="5" fillId="0" borderId="1" xfId="0" applyNumberFormat="1" applyFont="1" applyFill="1" applyBorder="1" applyAlignment="1">
      <alignment wrapText="1"/>
    </xf>
    <xf numFmtId="0" fontId="11" fillId="0" borderId="0" xfId="0" applyFont="1"/>
    <xf numFmtId="0" fontId="12" fillId="0" borderId="0" xfId="0" quotePrefix="1" applyFont="1"/>
    <xf numFmtId="0" fontId="9" fillId="0" borderId="1" xfId="0" applyFont="1" applyBorder="1" applyAlignment="1">
      <alignment wrapText="1"/>
    </xf>
    <xf numFmtId="164" fontId="13" fillId="0" borderId="0" xfId="0" applyNumberFormat="1" applyFont="1"/>
    <xf numFmtId="0" fontId="5" fillId="0" borderId="0" xfId="0" quotePrefix="1" applyFont="1"/>
    <xf numFmtId="0" fontId="0" fillId="0" borderId="0" xfId="0" applyBorder="1" applyAlignment="1">
      <alignment wrapText="1"/>
    </xf>
    <xf numFmtId="3" fontId="4" fillId="0" borderId="0" xfId="0" applyNumberFormat="1" applyFont="1" applyBorder="1"/>
    <xf numFmtId="4" fontId="14" fillId="0" borderId="4" xfId="0" applyNumberFormat="1" applyFont="1" applyBorder="1"/>
    <xf numFmtId="3" fontId="0" fillId="0" borderId="0" xfId="0" applyNumberFormat="1" applyFont="1"/>
    <xf numFmtId="3" fontId="4" fillId="0" borderId="0" xfId="0" applyNumberFormat="1" applyFont="1"/>
    <xf numFmtId="0" fontId="8" fillId="0" borderId="5" xfId="0" applyFont="1" applyBorder="1"/>
    <xf numFmtId="167" fontId="8" fillId="0" borderId="6" xfId="0" applyNumberFormat="1" applyFont="1" applyBorder="1"/>
    <xf numFmtId="164" fontId="10" fillId="0" borderId="0" xfId="0" applyNumberFormat="1" applyFont="1" applyAlignment="1">
      <alignment horizontal="right"/>
    </xf>
    <xf numFmtId="164" fontId="16" fillId="0" borderId="0" xfId="0" quotePrefix="1" applyNumberFormat="1" applyFont="1" applyAlignment="1">
      <alignment horizontal="right"/>
    </xf>
    <xf numFmtId="0" fontId="17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gdev.org/blog/how-trump-administrations-plan-would-shape-composition-immigration-first-numerical-estimates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P76"/>
  <sheetViews>
    <sheetView tabSelected="1" workbookViewId="0"/>
  </sheetViews>
  <sheetFormatPr defaultColWidth="8.85546875" defaultRowHeight="15" x14ac:dyDescent="0.25"/>
  <cols>
    <col min="1" max="1" width="3.28515625" customWidth="1"/>
    <col min="2" max="2" width="48.28515625" customWidth="1"/>
    <col min="3" max="3" width="17.28515625" customWidth="1"/>
    <col min="4" max="4" width="16.85546875" customWidth="1"/>
    <col min="6" max="6" width="10.85546875" bestFit="1" customWidth="1"/>
    <col min="7" max="7" width="10.28515625" bestFit="1" customWidth="1"/>
    <col min="8" max="8" width="10" bestFit="1" customWidth="1"/>
    <col min="9" max="9" width="10.28515625" customWidth="1"/>
    <col min="10" max="10" width="9" bestFit="1" customWidth="1"/>
    <col min="11" max="11" width="18.85546875" customWidth="1"/>
    <col min="12" max="12" width="14" customWidth="1"/>
  </cols>
  <sheetData>
    <row r="1" spans="2:12" x14ac:dyDescent="0.25">
      <c r="B1" t="s">
        <v>45</v>
      </c>
    </row>
    <row r="2" spans="2:12" ht="21" x14ac:dyDescent="0.35">
      <c r="B2" s="30" t="s">
        <v>24</v>
      </c>
    </row>
    <row r="3" spans="2:12" ht="18.75" x14ac:dyDescent="0.3">
      <c r="B3" s="18" t="s">
        <v>0</v>
      </c>
    </row>
    <row r="4" spans="2:12" x14ac:dyDescent="0.25">
      <c r="B4" t="s">
        <v>57</v>
      </c>
    </row>
    <row r="5" spans="2:12" x14ac:dyDescent="0.25">
      <c r="B5" s="44" t="s">
        <v>56</v>
      </c>
    </row>
    <row r="6" spans="2:12" x14ac:dyDescent="0.25">
      <c r="B6" s="1" t="s">
        <v>52</v>
      </c>
    </row>
    <row r="7" spans="2:12" x14ac:dyDescent="0.25">
      <c r="B7" s="1"/>
    </row>
    <row r="8" spans="2:12" x14ac:dyDescent="0.25">
      <c r="B8" s="34" t="s">
        <v>46</v>
      </c>
    </row>
    <row r="9" spans="2:12" x14ac:dyDescent="0.25">
      <c r="B9" s="1"/>
    </row>
    <row r="10" spans="2:12" x14ac:dyDescent="0.25">
      <c r="B10" s="1"/>
    </row>
    <row r="11" spans="2:12" ht="15.75" x14ac:dyDescent="0.25">
      <c r="B11" s="31" t="s">
        <v>25</v>
      </c>
    </row>
    <row r="12" spans="2:12" ht="43.5" customHeight="1" x14ac:dyDescent="0.25">
      <c r="B12" s="9" t="s">
        <v>1</v>
      </c>
      <c r="C12" s="10" t="s">
        <v>8</v>
      </c>
      <c r="D12" s="11" t="s">
        <v>7</v>
      </c>
      <c r="E12" s="9" t="s">
        <v>9</v>
      </c>
      <c r="F12" s="10" t="s">
        <v>10</v>
      </c>
      <c r="G12" s="10" t="s">
        <v>11</v>
      </c>
      <c r="H12" s="10" t="s">
        <v>12</v>
      </c>
      <c r="I12" s="10" t="s">
        <v>21</v>
      </c>
      <c r="J12" s="10" t="s">
        <v>13</v>
      </c>
    </row>
    <row r="13" spans="2:12" x14ac:dyDescent="0.25">
      <c r="D13" s="12"/>
      <c r="F13" s="5"/>
      <c r="G13" s="5"/>
      <c r="H13" s="5"/>
      <c r="I13" s="5"/>
      <c r="J13" s="5"/>
    </row>
    <row r="14" spans="2:12" x14ac:dyDescent="0.25">
      <c r="B14" s="3" t="s">
        <v>15</v>
      </c>
      <c r="C14" s="2">
        <v>304358</v>
      </c>
      <c r="D14" s="13">
        <v>304358</v>
      </c>
      <c r="E14" s="7">
        <f t="shared" ref="E14:E17" si="0">D14-C14</f>
        <v>0</v>
      </c>
      <c r="F14" s="5">
        <v>0.2302898702792375</v>
      </c>
      <c r="G14" s="5">
        <v>0.23055702588907181</v>
      </c>
      <c r="H14" s="5">
        <v>8.7619629970123181E-2</v>
      </c>
      <c r="I14" s="5">
        <v>8.0836638734765754E-3</v>
      </c>
      <c r="J14" s="5">
        <v>0.41448421445097478</v>
      </c>
      <c r="K14" s="43" t="s">
        <v>53</v>
      </c>
      <c r="L14" s="5"/>
    </row>
    <row r="15" spans="2:12" x14ac:dyDescent="0.25">
      <c r="B15" s="3" t="s">
        <v>51</v>
      </c>
      <c r="C15" s="2">
        <v>88494</v>
      </c>
      <c r="D15" s="13">
        <v>88494</v>
      </c>
      <c r="E15" s="7">
        <f t="shared" si="0"/>
        <v>0</v>
      </c>
      <c r="F15" s="42" t="s">
        <v>50</v>
      </c>
      <c r="G15" s="42" t="s">
        <v>50</v>
      </c>
      <c r="H15" s="42" t="s">
        <v>50</v>
      </c>
      <c r="I15" s="42" t="s">
        <v>50</v>
      </c>
      <c r="J15" s="42" t="s">
        <v>50</v>
      </c>
      <c r="K15" s="43" t="s">
        <v>53</v>
      </c>
      <c r="L15" s="5"/>
    </row>
    <row r="16" spans="2:12" x14ac:dyDescent="0.25">
      <c r="B16" s="3" t="s">
        <v>14</v>
      </c>
      <c r="C16" s="2">
        <v>173854</v>
      </c>
      <c r="D16" s="13">
        <v>0</v>
      </c>
      <c r="E16" s="7">
        <f t="shared" si="0"/>
        <v>-173854</v>
      </c>
      <c r="F16" s="5">
        <v>0.11491731120789928</v>
      </c>
      <c r="G16" s="5">
        <v>0.35292653355983089</v>
      </c>
      <c r="H16" s="5">
        <v>9.2535505602519455E-2</v>
      </c>
      <c r="I16" s="5">
        <v>4.6601667440609442E-3</v>
      </c>
      <c r="J16" s="5">
        <v>0.40994614992972556</v>
      </c>
      <c r="L16" s="5"/>
    </row>
    <row r="17" spans="2:12" s="3" customFormat="1" x14ac:dyDescent="0.25">
      <c r="B17" s="3" t="s">
        <v>16</v>
      </c>
      <c r="C17" s="4">
        <f>22072+27392</f>
        <v>49464</v>
      </c>
      <c r="D17" s="13">
        <v>0</v>
      </c>
      <c r="E17" s="7">
        <f t="shared" si="0"/>
        <v>-49464</v>
      </c>
      <c r="F17" s="5">
        <v>6.6016128619902067E-2</v>
      </c>
      <c r="G17" s="5">
        <v>0.19115664206616914</v>
      </c>
      <c r="H17" s="5">
        <v>0.18693817649344052</v>
      </c>
      <c r="I17" s="5">
        <v>2.3943969112863056E-3</v>
      </c>
      <c r="J17" s="5">
        <v>0.53373001054677827</v>
      </c>
      <c r="L17" s="5"/>
    </row>
    <row r="18" spans="2:12" s="3" customFormat="1" x14ac:dyDescent="0.25">
      <c r="B18" s="3" t="s">
        <v>20</v>
      </c>
      <c r="C18" s="2">
        <v>121267</v>
      </c>
      <c r="D18" s="13">
        <v>0</v>
      </c>
      <c r="E18" s="7">
        <f>D18-C18</f>
        <v>-121267</v>
      </c>
      <c r="F18" s="5">
        <v>2.953280553249215E-2</v>
      </c>
      <c r="G18" s="5">
        <v>0.13390605009780057</v>
      </c>
      <c r="H18" s="5">
        <v>6.3424594533356596E-2</v>
      </c>
      <c r="I18" s="5">
        <v>0</v>
      </c>
      <c r="J18" s="5">
        <v>0.75224159539692159</v>
      </c>
      <c r="L18" s="5"/>
    </row>
    <row r="19" spans="2:12" s="3" customFormat="1" x14ac:dyDescent="0.25">
      <c r="B19" t="s">
        <v>17</v>
      </c>
      <c r="C19" s="2">
        <v>67356</v>
      </c>
      <c r="D19" s="13">
        <v>0</v>
      </c>
      <c r="E19" s="7">
        <f>D19-C19</f>
        <v>-67356</v>
      </c>
      <c r="F19" s="5">
        <v>4.4974980492731333E-2</v>
      </c>
      <c r="G19" s="5">
        <v>0.70044473297705212</v>
      </c>
      <c r="H19" s="5">
        <v>5.2122836067204151E-2</v>
      </c>
      <c r="I19" s="5">
        <v>1.0841827640117627E-2</v>
      </c>
      <c r="J19" s="5">
        <v>0.14942051389028047</v>
      </c>
      <c r="L19" s="5"/>
    </row>
    <row r="20" spans="2:12" s="3" customFormat="1" x14ac:dyDescent="0.25">
      <c r="C20" s="4"/>
      <c r="D20" s="13"/>
      <c r="E20" s="8"/>
      <c r="F20" s="6"/>
      <c r="G20" s="6"/>
      <c r="H20" s="6"/>
      <c r="I20" s="6"/>
      <c r="J20" s="6"/>
      <c r="L20" s="5"/>
    </row>
    <row r="21" spans="2:12" x14ac:dyDescent="0.25">
      <c r="B21" t="s">
        <v>2</v>
      </c>
      <c r="C21" s="2">
        <v>42862</v>
      </c>
      <c r="D21" s="13">
        <v>58374</v>
      </c>
      <c r="E21" s="7">
        <f>D21-C21</f>
        <v>15512</v>
      </c>
      <c r="F21" s="5">
        <v>0.56299999999999994</v>
      </c>
      <c r="G21" s="5">
        <v>0.28999999999999998</v>
      </c>
      <c r="H21" s="5">
        <v>0</v>
      </c>
      <c r="I21" s="5">
        <v>0</v>
      </c>
      <c r="J21" s="5">
        <v>9.1999999999999998E-2</v>
      </c>
      <c r="L21" s="5"/>
    </row>
    <row r="22" spans="2:12" x14ac:dyDescent="0.25">
      <c r="B22" t="s">
        <v>18</v>
      </c>
      <c r="C22" s="2">
        <v>38858</v>
      </c>
      <c r="D22" s="13">
        <v>58373</v>
      </c>
      <c r="E22" s="7">
        <f t="shared" ref="E22:E25" si="1">D22-C22</f>
        <v>19515</v>
      </c>
      <c r="F22" s="5">
        <v>0.128</v>
      </c>
      <c r="G22" s="5">
        <v>0.80700000000000005</v>
      </c>
      <c r="H22" s="5">
        <v>0</v>
      </c>
      <c r="I22" s="5">
        <v>0</v>
      </c>
      <c r="J22" s="5">
        <v>0</v>
      </c>
      <c r="L22" s="5"/>
    </row>
    <row r="23" spans="2:12" x14ac:dyDescent="0.25">
      <c r="B23" t="s">
        <v>19</v>
      </c>
      <c r="C23" s="2">
        <v>35933</v>
      </c>
      <c r="D23" s="13">
        <v>58373</v>
      </c>
      <c r="E23" s="7">
        <f t="shared" si="1"/>
        <v>22440</v>
      </c>
      <c r="F23" s="5">
        <v>0.191</v>
      </c>
      <c r="G23" s="5">
        <v>0.59899999999999998</v>
      </c>
      <c r="H23" s="5">
        <v>0</v>
      </c>
      <c r="I23" s="5">
        <v>0</v>
      </c>
      <c r="J23" s="5">
        <f>0.152+0.0205</f>
        <v>0.17249999999999999</v>
      </c>
      <c r="L23" s="5"/>
    </row>
    <row r="24" spans="2:12" x14ac:dyDescent="0.25">
      <c r="B24" t="s">
        <v>3</v>
      </c>
      <c r="C24" s="2">
        <v>10377</v>
      </c>
      <c r="D24" s="13">
        <v>9940</v>
      </c>
      <c r="E24" s="7">
        <f t="shared" si="1"/>
        <v>-437</v>
      </c>
      <c r="F24" s="5"/>
      <c r="G24" s="5"/>
      <c r="H24" s="5"/>
      <c r="I24" s="5"/>
      <c r="J24" s="5"/>
      <c r="L24" s="5"/>
    </row>
    <row r="25" spans="2:12" x14ac:dyDescent="0.25">
      <c r="B25" t="s">
        <v>4</v>
      </c>
      <c r="C25" s="2">
        <v>9863</v>
      </c>
      <c r="D25" s="13">
        <v>9940</v>
      </c>
      <c r="E25" s="7">
        <f t="shared" si="1"/>
        <v>77</v>
      </c>
      <c r="F25" s="5"/>
      <c r="G25" s="5"/>
      <c r="H25" s="5"/>
      <c r="I25" s="5"/>
      <c r="J25" s="5"/>
      <c r="L25" s="5"/>
    </row>
    <row r="26" spans="2:12" x14ac:dyDescent="0.25">
      <c r="C26" s="2"/>
      <c r="D26" s="13"/>
      <c r="E26" s="7"/>
      <c r="F26" s="5"/>
      <c r="G26" s="5"/>
      <c r="H26" s="5"/>
      <c r="I26" s="5"/>
      <c r="J26" s="5"/>
      <c r="L26" s="5"/>
    </row>
    <row r="27" spans="2:12" x14ac:dyDescent="0.25">
      <c r="B27" t="s">
        <v>5</v>
      </c>
      <c r="C27" s="2">
        <v>49865</v>
      </c>
      <c r="D27" s="13">
        <v>0</v>
      </c>
      <c r="E27" s="7">
        <f t="shared" ref="E27:E29" si="2">D27-C27</f>
        <v>-49865</v>
      </c>
      <c r="F27" s="5">
        <v>0.50338529911295982</v>
      </c>
      <c r="G27" s="5">
        <v>0.12845305005857496</v>
      </c>
      <c r="H27" s="5">
        <v>0.29033043717188489</v>
      </c>
      <c r="I27" s="5">
        <v>2.8524803711032208E-3</v>
      </c>
      <c r="J27" s="5">
        <v>4.8470290610677334E-2</v>
      </c>
      <c r="L27" s="5"/>
    </row>
    <row r="28" spans="2:12" x14ac:dyDescent="0.25">
      <c r="B28" t="s">
        <v>23</v>
      </c>
      <c r="C28" s="2">
        <f>120216+37209</f>
        <v>157425</v>
      </c>
      <c r="D28" s="13">
        <f>45000+18605</f>
        <v>63605</v>
      </c>
      <c r="E28" s="7">
        <f t="shared" si="2"/>
        <v>-93820</v>
      </c>
      <c r="F28" s="5">
        <v>0.4152677422337831</v>
      </c>
      <c r="G28" s="5">
        <v>0.13313723027870164</v>
      </c>
      <c r="H28" s="5">
        <v>0.20811128487293212</v>
      </c>
      <c r="I28" s="5">
        <v>0</v>
      </c>
      <c r="J28" s="5">
        <v>0.21788126381860562</v>
      </c>
      <c r="L28" s="5"/>
    </row>
    <row r="29" spans="2:12" x14ac:dyDescent="0.25">
      <c r="B29" t="s">
        <v>6</v>
      </c>
      <c r="C29" s="2">
        <v>33529</v>
      </c>
      <c r="D29" s="13">
        <v>33529</v>
      </c>
      <c r="E29" s="7">
        <f t="shared" si="2"/>
        <v>0</v>
      </c>
      <c r="F29" s="42" t="s">
        <v>50</v>
      </c>
      <c r="G29" s="42" t="s">
        <v>50</v>
      </c>
      <c r="H29" s="42" t="s">
        <v>50</v>
      </c>
      <c r="I29" s="42" t="s">
        <v>50</v>
      </c>
      <c r="J29" s="42" t="s">
        <v>50</v>
      </c>
      <c r="K29" s="43" t="s">
        <v>53</v>
      </c>
    </row>
    <row r="30" spans="2:12" ht="15.75" thickBot="1" x14ac:dyDescent="0.3">
      <c r="C30" s="2"/>
      <c r="D30" s="2"/>
    </row>
    <row r="31" spans="2:12" ht="15.75" thickBot="1" x14ac:dyDescent="0.3">
      <c r="B31" s="14" t="s">
        <v>28</v>
      </c>
      <c r="D31" s="2"/>
      <c r="F31" s="15">
        <f>SUMPRODUCT($E14:$E29,F14:F29)</f>
        <v>-78399.457040011373</v>
      </c>
      <c r="G31" s="16">
        <f>SUMPRODUCT($E14:$E29,G14:G29)</f>
        <v>-119438.20340620278</v>
      </c>
      <c r="H31" s="16">
        <f>SUMPRODUCT($E14:$E29,H14:H29)</f>
        <v>-70538.801800865651</v>
      </c>
      <c r="I31" s="16">
        <f>SUMPRODUCT($E14:$E29,I14:I29)</f>
        <v>-1801.1261541746621</v>
      </c>
      <c r="J31" s="17">
        <f>SUMPRODUCT($E14:$E29,J14:J29)</f>
        <v>-216518.2360869236</v>
      </c>
    </row>
    <row r="32" spans="2:12" x14ac:dyDescent="0.25">
      <c r="B32" s="19" t="s">
        <v>22</v>
      </c>
      <c r="D32" s="2"/>
      <c r="E32" t="s">
        <v>42</v>
      </c>
      <c r="F32" s="2">
        <f>SUMPRODUCT($C14:$C29,F14:F29)</f>
        <v>226388.67512323929</v>
      </c>
      <c r="G32" s="2">
        <f>SUMPRODUCT($C14:$C29,G14:G29)</f>
        <v>297079.17022362578</v>
      </c>
      <c r="H32" s="2">
        <f>SUMPRODUCT($C14:$C29,H14:H29)</f>
        <v>110443.45541365523</v>
      </c>
      <c r="I32" s="2">
        <f>SUMPRODUCT($C14:$C29,I14:I29)</f>
        <v>4261.4539233782452</v>
      </c>
      <c r="J32" s="2">
        <f>SUMPRODUCT($C14:$C29,J14:J29)</f>
        <v>371967.91091397585</v>
      </c>
      <c r="L32" s="2"/>
    </row>
    <row r="33" spans="2:13" x14ac:dyDescent="0.25">
      <c r="B33" s="19" t="s">
        <v>54</v>
      </c>
      <c r="D33" s="2"/>
      <c r="E33" t="s">
        <v>43</v>
      </c>
      <c r="F33" s="2">
        <f>SUMPRODUCT($D14:$D29,F14:F29)</f>
        <v>147989.21808322796</v>
      </c>
      <c r="G33" s="2">
        <f>SUMPRODUCT($D14:$D29,G14:G29)</f>
        <v>177640.96681742292</v>
      </c>
      <c r="H33" s="2">
        <f>SUMPRODUCT($D14:$D29,H14:H29)</f>
        <v>39904.653612789596</v>
      </c>
      <c r="I33" s="2">
        <f>SUMPRODUCT($D14:$D29,I14:I29)</f>
        <v>2460.3277692035836</v>
      </c>
      <c r="J33" s="2">
        <f>SUMPRODUCT($D14:$D29,J14:J29)</f>
        <v>155449.67482705219</v>
      </c>
    </row>
    <row r="34" spans="2:13" x14ac:dyDescent="0.25">
      <c r="D34" s="2"/>
      <c r="F34" s="23">
        <f>(F33-F32)/F32</f>
        <v>-0.34630467711042962</v>
      </c>
      <c r="G34" s="23">
        <f t="shared" ref="G34:J34" si="3">(G33-G32)/G32</f>
        <v>-0.4020416622151462</v>
      </c>
      <c r="H34" s="23">
        <f t="shared" si="3"/>
        <v>-0.63868702347884176</v>
      </c>
      <c r="I34" s="23">
        <f t="shared" si="3"/>
        <v>-0.42265531589904609</v>
      </c>
      <c r="J34" s="23">
        <f t="shared" si="3"/>
        <v>-0.58208848057594231</v>
      </c>
    </row>
    <row r="35" spans="2:13" x14ac:dyDescent="0.25">
      <c r="D35" s="2"/>
    </row>
    <row r="36" spans="2:13" x14ac:dyDescent="0.25">
      <c r="D36" s="2"/>
      <c r="F36" s="2"/>
      <c r="G36" s="2"/>
      <c r="H36" s="2"/>
      <c r="I36" s="2"/>
      <c r="J36" s="2"/>
    </row>
    <row r="37" spans="2:13" ht="15.75" x14ac:dyDescent="0.25">
      <c r="B37" s="31" t="s">
        <v>26</v>
      </c>
      <c r="D37" s="2"/>
    </row>
    <row r="38" spans="2:13" ht="82.5" customHeight="1" x14ac:dyDescent="0.25">
      <c r="B38" s="9" t="s">
        <v>1</v>
      </c>
      <c r="C38" s="10" t="s">
        <v>8</v>
      </c>
      <c r="D38" s="28" t="s">
        <v>7</v>
      </c>
      <c r="E38" s="9" t="s">
        <v>9</v>
      </c>
      <c r="F38" s="10" t="s">
        <v>29</v>
      </c>
      <c r="G38" s="10" t="s">
        <v>31</v>
      </c>
      <c r="H38" s="10" t="s">
        <v>44</v>
      </c>
      <c r="I38" s="32" t="s">
        <v>30</v>
      </c>
      <c r="J38" s="35"/>
      <c r="K38" s="21" t="s">
        <v>48</v>
      </c>
      <c r="L38" s="21" t="s">
        <v>49</v>
      </c>
    </row>
    <row r="39" spans="2:13" x14ac:dyDescent="0.25">
      <c r="D39" s="13"/>
      <c r="F39" s="5"/>
      <c r="G39" s="5"/>
      <c r="H39" s="5"/>
      <c r="I39" s="27"/>
      <c r="J39" s="5"/>
    </row>
    <row r="40" spans="2:13" x14ac:dyDescent="0.25">
      <c r="B40" s="3" t="s">
        <v>15</v>
      </c>
      <c r="C40" s="2">
        <v>304358</v>
      </c>
      <c r="D40" s="13">
        <v>304358</v>
      </c>
      <c r="E40" s="7">
        <f t="shared" ref="E40:E43" si="4">D40-C40</f>
        <v>0</v>
      </c>
      <c r="F40" s="5">
        <v>0.26282970228300456</v>
      </c>
      <c r="G40" s="5">
        <v>0.41305759555916166</v>
      </c>
      <c r="H40" s="5">
        <v>0.32411270215784999</v>
      </c>
      <c r="I40" s="27">
        <v>13.264724353842251</v>
      </c>
      <c r="J40" s="5"/>
      <c r="L40" s="5"/>
      <c r="M40" s="43" t="s">
        <v>53</v>
      </c>
    </row>
    <row r="41" spans="2:13" x14ac:dyDescent="0.25">
      <c r="B41" s="3" t="s">
        <v>51</v>
      </c>
      <c r="C41" s="2">
        <v>88494</v>
      </c>
      <c r="D41" s="13">
        <v>88494</v>
      </c>
      <c r="E41" s="7">
        <f t="shared" si="4"/>
        <v>0</v>
      </c>
      <c r="F41" s="42" t="s">
        <v>50</v>
      </c>
      <c r="G41" s="42" t="s">
        <v>50</v>
      </c>
      <c r="H41" s="42" t="s">
        <v>50</v>
      </c>
      <c r="I41" s="42" t="s">
        <v>50</v>
      </c>
      <c r="J41" s="42"/>
      <c r="L41" s="5"/>
      <c r="M41" s="43" t="s">
        <v>53</v>
      </c>
    </row>
    <row r="42" spans="2:13" x14ac:dyDescent="0.25">
      <c r="B42" s="3" t="s">
        <v>14</v>
      </c>
      <c r="C42" s="2">
        <v>173854</v>
      </c>
      <c r="D42" s="13">
        <v>0</v>
      </c>
      <c r="E42" s="7">
        <f t="shared" si="4"/>
        <v>-173854</v>
      </c>
      <c r="F42" s="5">
        <v>0.69769909024487575</v>
      </c>
      <c r="G42" s="5">
        <v>0.18760518369967807</v>
      </c>
      <c r="H42" s="5">
        <v>0.11469572605544812</v>
      </c>
      <c r="I42" s="27">
        <v>7.5755948293870619</v>
      </c>
      <c r="J42" s="5"/>
      <c r="K42" s="2">
        <f>E42*F42</f>
        <v>-121297.77763543263</v>
      </c>
      <c r="L42" s="2"/>
    </row>
    <row r="43" spans="2:13" x14ac:dyDescent="0.25">
      <c r="B43" s="3" t="s">
        <v>16</v>
      </c>
      <c r="C43" s="4">
        <f>22072+27392</f>
        <v>49464</v>
      </c>
      <c r="D43" s="13">
        <v>0</v>
      </c>
      <c r="E43" s="7">
        <f t="shared" si="4"/>
        <v>-49464</v>
      </c>
      <c r="F43" s="5">
        <v>0.34343114460872326</v>
      </c>
      <c r="G43" s="5">
        <v>0.59978862911477326</v>
      </c>
      <c r="H43" s="5">
        <v>5.6780226276500326E-2</v>
      </c>
      <c r="I43" s="27">
        <v>11.864866212367849</v>
      </c>
      <c r="J43" s="6"/>
      <c r="K43" s="2">
        <f t="shared" ref="K43:K45" si="5">E43*F43</f>
        <v>-16987.478136925889</v>
      </c>
      <c r="L43" s="2"/>
    </row>
    <row r="44" spans="2:13" x14ac:dyDescent="0.25">
      <c r="B44" s="3" t="s">
        <v>20</v>
      </c>
      <c r="C44" s="2">
        <v>121267</v>
      </c>
      <c r="D44" s="13">
        <v>0</v>
      </c>
      <c r="E44" s="7">
        <f>D44-C44</f>
        <v>-121267</v>
      </c>
      <c r="F44" s="5">
        <v>0.76388890640094331</v>
      </c>
      <c r="G44" s="5">
        <v>0.17116442995972253</v>
      </c>
      <c r="H44" s="5">
        <v>6.494666363933306E-2</v>
      </c>
      <c r="I44" s="27">
        <v>7.9840076728933402</v>
      </c>
      <c r="J44" s="6"/>
      <c r="K44" s="2">
        <f t="shared" si="5"/>
        <v>-92634.516012523192</v>
      </c>
      <c r="L44" s="2"/>
    </row>
    <row r="45" spans="2:13" x14ac:dyDescent="0.25">
      <c r="B45" t="s">
        <v>17</v>
      </c>
      <c r="C45" s="2">
        <v>67356</v>
      </c>
      <c r="D45" s="13">
        <v>0</v>
      </c>
      <c r="E45" s="7">
        <f>D45-C45</f>
        <v>-67356</v>
      </c>
      <c r="F45" s="5">
        <v>0.45525890511424655</v>
      </c>
      <c r="G45" s="5">
        <v>0.31779134926920444</v>
      </c>
      <c r="H45" s="5">
        <v>0.22694974561654491</v>
      </c>
      <c r="I45" s="27">
        <v>11.674759174059645</v>
      </c>
      <c r="J45" s="6"/>
      <c r="K45" s="2">
        <f t="shared" si="5"/>
        <v>-30664.418812875192</v>
      </c>
      <c r="L45" s="2"/>
    </row>
    <row r="46" spans="2:13" x14ac:dyDescent="0.25">
      <c r="B46" s="3"/>
      <c r="C46" s="4"/>
      <c r="D46" s="13"/>
      <c r="E46" s="8"/>
      <c r="F46" s="6"/>
      <c r="G46" s="6"/>
      <c r="H46" s="6"/>
      <c r="I46" s="33"/>
      <c r="J46" s="6"/>
      <c r="L46" s="5"/>
    </row>
    <row r="47" spans="2:13" s="24" customFormat="1" x14ac:dyDescent="0.25">
      <c r="B47" s="24" t="s">
        <v>41</v>
      </c>
      <c r="C47" s="25">
        <v>137893</v>
      </c>
      <c r="D47" s="25">
        <v>195000</v>
      </c>
      <c r="E47" s="26">
        <v>57107</v>
      </c>
      <c r="F47" s="27">
        <v>9.1850261803356356E-2</v>
      </c>
      <c r="G47" s="27">
        <v>0.24899025626598659</v>
      </c>
      <c r="H47" s="27">
        <v>0.65915948193066731</v>
      </c>
      <c r="I47" s="27">
        <v>16.14301562974746</v>
      </c>
      <c r="J47" s="27"/>
      <c r="K47" s="2"/>
      <c r="L47" s="38">
        <f>E47*H47</f>
        <v>37642.620534614616</v>
      </c>
    </row>
    <row r="48" spans="2:13" x14ac:dyDescent="0.25">
      <c r="C48" s="2"/>
      <c r="D48" s="13"/>
      <c r="E48" s="7"/>
      <c r="F48" s="5"/>
      <c r="G48" s="5"/>
      <c r="H48" s="5"/>
      <c r="I48" s="27"/>
      <c r="J48" s="5"/>
      <c r="L48" s="5"/>
    </row>
    <row r="49" spans="2:16" x14ac:dyDescent="0.25">
      <c r="B49" t="s">
        <v>5</v>
      </c>
      <c r="C49" s="2">
        <v>49865</v>
      </c>
      <c r="D49" s="13">
        <v>0</v>
      </c>
      <c r="E49" s="7">
        <f t="shared" ref="E49:E50" si="6">D49-C49</f>
        <v>-49865</v>
      </c>
      <c r="F49" s="5">
        <v>0.11166642840627049</v>
      </c>
      <c r="G49" s="5">
        <v>0.48064087983080772</v>
      </c>
      <c r="H49" s="5">
        <v>0.40769269176291101</v>
      </c>
      <c r="I49" s="27">
        <v>14.595838580254259</v>
      </c>
      <c r="J49" s="5"/>
      <c r="K49" s="2">
        <f t="shared" ref="K49" si="7">E49*F49</f>
        <v>-5568.2464524786783</v>
      </c>
      <c r="L49" s="38"/>
    </row>
    <row r="50" spans="2:16" x14ac:dyDescent="0.25">
      <c r="B50" t="s">
        <v>23</v>
      </c>
      <c r="C50" s="2">
        <f>120216+37209</f>
        <v>157425</v>
      </c>
      <c r="D50" s="13">
        <f>45000+18605</f>
        <v>63605</v>
      </c>
      <c r="E50" s="7">
        <f t="shared" si="6"/>
        <v>-93820</v>
      </c>
      <c r="F50" s="5">
        <v>0.30931897679430115</v>
      </c>
      <c r="G50" s="5">
        <v>0.44276034326723823</v>
      </c>
      <c r="H50" s="5">
        <v>0.24792067993845707</v>
      </c>
      <c r="I50" s="27">
        <v>12.379934266134919</v>
      </c>
      <c r="J50" s="5"/>
      <c r="K50" s="2"/>
      <c r="L50" s="38"/>
    </row>
    <row r="51" spans="2:16" ht="15.75" thickBot="1" x14ac:dyDescent="0.3">
      <c r="C51" s="2"/>
      <c r="D51" s="2"/>
      <c r="I51" s="24"/>
    </row>
    <row r="52" spans="2:16" ht="15.75" thickBot="1" x14ac:dyDescent="0.3">
      <c r="B52" s="14" t="s">
        <v>28</v>
      </c>
      <c r="D52" s="2"/>
      <c r="F52" s="15">
        <f>SUMPRODUCT($E40:$E50,F40:F50)</f>
        <v>-290927.45055227267</v>
      </c>
      <c r="G52" s="16">
        <f>SUMPRODUCT($E40:$E50,G40:G50)</f>
        <v>-155733.45372027301</v>
      </c>
      <c r="H52" s="16">
        <f>SUMPRODUCT($E40:$E50,H40:H50)</f>
        <v>-51858.095727452681</v>
      </c>
      <c r="I52" s="37">
        <f>SUMPRODUCT(D40:D50,I40:I50)/SUM(D40:D50)-SUMPRODUCT(C40:C50,I40:I50)/SUM(C40:C50)</f>
        <v>1.2826015082145545</v>
      </c>
      <c r="J52" s="36"/>
      <c r="K52" s="39">
        <f>SUM(K42:K50)</f>
        <v>-267152.43705023557</v>
      </c>
      <c r="L52" s="39">
        <f>SUM(L42:L50)</f>
        <v>37642.620534614616</v>
      </c>
      <c r="N52" s="40" t="s">
        <v>47</v>
      </c>
      <c r="O52" s="41">
        <f>ABS(K52)/L52</f>
        <v>7.0970732976619706</v>
      </c>
    </row>
    <row r="53" spans="2:16" x14ac:dyDescent="0.25">
      <c r="D53" s="2"/>
      <c r="E53" t="s">
        <v>42</v>
      </c>
      <c r="F53" s="2">
        <f>SUMPRODUCT($C40:$C50,F40:F50)</f>
        <v>408506.80765037937</v>
      </c>
      <c r="G53" s="2">
        <f>SUMPRODUCT($C40:$C50,G40:G50)</f>
        <v>358165.70899484836</v>
      </c>
      <c r="H53" s="2">
        <f>SUMPRODUCT($C40:$C50,H40:H50)</f>
        <v>294809.48335477727</v>
      </c>
      <c r="I53" s="2"/>
    </row>
    <row r="54" spans="2:16" x14ac:dyDescent="0.25">
      <c r="B54" s="19" t="s">
        <v>55</v>
      </c>
      <c r="D54" s="2"/>
      <c r="E54" t="s">
        <v>43</v>
      </c>
      <c r="F54" s="2">
        <f>SUMPRODUCT($D40:$D50,F40:F50)</f>
        <v>117579.35709810672</v>
      </c>
      <c r="G54" s="2">
        <f>SUMPRODUCT($D40:$D50,G40:G50)</f>
        <v>202432.25527457538</v>
      </c>
      <c r="H54" s="2">
        <f>SUMPRODUCT($D40:$D50,H40:H50)</f>
        <v>242951.38762732458</v>
      </c>
    </row>
    <row r="55" spans="2:16" x14ac:dyDescent="0.25">
      <c r="D55" s="2"/>
      <c r="F55" s="23">
        <f t="shared" ref="F55:H55" si="8">(F54-F53)/F53</f>
        <v>-0.7121728331177849</v>
      </c>
      <c r="G55" s="23">
        <f t="shared" si="8"/>
        <v>-0.43480838564172253</v>
      </c>
      <c r="H55" s="23">
        <f t="shared" si="8"/>
        <v>-0.17590375702075375</v>
      </c>
    </row>
    <row r="56" spans="2:16" x14ac:dyDescent="0.25">
      <c r="D56" s="2"/>
      <c r="F56" s="22"/>
      <c r="G56" s="22"/>
      <c r="H56" s="22"/>
    </row>
    <row r="57" spans="2:16" ht="15.75" x14ac:dyDescent="0.25">
      <c r="B57" s="31" t="s">
        <v>27</v>
      </c>
      <c r="D57" s="2"/>
    </row>
    <row r="58" spans="2:16" ht="45" x14ac:dyDescent="0.25">
      <c r="B58" s="9" t="s">
        <v>1</v>
      </c>
      <c r="C58" s="10" t="s">
        <v>8</v>
      </c>
      <c r="D58" s="29" t="s">
        <v>7</v>
      </c>
      <c r="E58" s="20" t="s">
        <v>9</v>
      </c>
      <c r="F58" s="21" t="s">
        <v>32</v>
      </c>
      <c r="G58" s="21" t="s">
        <v>33</v>
      </c>
      <c r="H58" s="21" t="s">
        <v>34</v>
      </c>
      <c r="I58" s="21" t="s">
        <v>35</v>
      </c>
      <c r="J58" s="21" t="s">
        <v>36</v>
      </c>
      <c r="K58" s="21" t="s">
        <v>37</v>
      </c>
      <c r="L58" s="21" t="s">
        <v>40</v>
      </c>
      <c r="M58" s="21" t="s">
        <v>38</v>
      </c>
      <c r="N58" s="21" t="s">
        <v>39</v>
      </c>
    </row>
    <row r="59" spans="2:16" x14ac:dyDescent="0.25">
      <c r="D59" s="13"/>
      <c r="F59" s="5"/>
      <c r="G59" s="5"/>
      <c r="H59" s="5"/>
      <c r="I59" s="5"/>
      <c r="J59" s="5"/>
    </row>
    <row r="60" spans="2:16" x14ac:dyDescent="0.25">
      <c r="B60" s="3" t="s">
        <v>15</v>
      </c>
      <c r="C60" s="2">
        <v>304358</v>
      </c>
      <c r="D60" s="13">
        <v>304358</v>
      </c>
      <c r="E60" s="7">
        <f t="shared" ref="E60:E63" si="9">D60-C60</f>
        <v>0</v>
      </c>
      <c r="F60" s="5">
        <v>0.45176010699883856</v>
      </c>
      <c r="G60" s="5">
        <v>7.6980337633012541E-2</v>
      </c>
      <c r="H60" s="5">
        <v>0.15090350960572757</v>
      </c>
      <c r="I60" s="5">
        <v>6.3651376303016538E-2</v>
      </c>
      <c r="J60" s="5">
        <v>1.3264562692399723E-2</v>
      </c>
      <c r="K60" s="5">
        <v>5.6678681966910179E-2</v>
      </c>
      <c r="L60" s="5">
        <v>2.4152810636036602E-2</v>
      </c>
      <c r="M60" s="5">
        <v>0.13362015245012793</v>
      </c>
      <c r="N60" s="5">
        <v>2.8988461713944182E-2</v>
      </c>
      <c r="P60" s="43" t="s">
        <v>53</v>
      </c>
    </row>
    <row r="61" spans="2:16" x14ac:dyDescent="0.25">
      <c r="B61" s="3" t="s">
        <v>51</v>
      </c>
      <c r="C61" s="2">
        <v>88494</v>
      </c>
      <c r="D61" s="13">
        <v>88494</v>
      </c>
      <c r="E61" s="7">
        <f t="shared" si="9"/>
        <v>0</v>
      </c>
      <c r="F61" s="42" t="s">
        <v>50</v>
      </c>
      <c r="G61" s="42" t="s">
        <v>50</v>
      </c>
      <c r="H61" s="42" t="s">
        <v>50</v>
      </c>
      <c r="I61" s="42" t="s">
        <v>50</v>
      </c>
      <c r="J61" s="42" t="s">
        <v>50</v>
      </c>
      <c r="K61" s="42" t="s">
        <v>50</v>
      </c>
      <c r="L61" s="42" t="s">
        <v>50</v>
      </c>
      <c r="M61" s="42" t="s">
        <v>50</v>
      </c>
      <c r="N61" s="42" t="s">
        <v>50</v>
      </c>
      <c r="P61" s="43" t="s">
        <v>53</v>
      </c>
    </row>
    <row r="62" spans="2:16" x14ac:dyDescent="0.25">
      <c r="B62" s="3" t="s">
        <v>14</v>
      </c>
      <c r="C62" s="2">
        <v>173854</v>
      </c>
      <c r="D62" s="13">
        <v>0</v>
      </c>
      <c r="E62" s="7">
        <f t="shared" si="9"/>
        <v>-173854</v>
      </c>
      <c r="F62" s="5">
        <v>0.49385249586392088</v>
      </c>
      <c r="G62" s="5">
        <v>5.9335882173555621E-2</v>
      </c>
      <c r="H62" s="5">
        <v>0.10698259366874337</v>
      </c>
      <c r="I62" s="5">
        <v>7.5099778032975184E-2</v>
      </c>
      <c r="J62" s="5">
        <v>5.7882501052114715E-3</v>
      </c>
      <c r="K62" s="5">
        <v>4.7998705396723032E-2</v>
      </c>
      <c r="L62" s="5">
        <v>6.3887833587747314E-2</v>
      </c>
      <c r="M62" s="5">
        <v>0.11922141563252038</v>
      </c>
      <c r="N62" s="5">
        <v>2.7833045538604911E-2</v>
      </c>
      <c r="P62" s="5"/>
    </row>
    <row r="63" spans="2:16" x14ac:dyDescent="0.25">
      <c r="B63" s="3" t="s">
        <v>16</v>
      </c>
      <c r="C63" s="4">
        <f>22072+27392</f>
        <v>49464</v>
      </c>
      <c r="D63" s="13">
        <v>0</v>
      </c>
      <c r="E63" s="7">
        <f t="shared" si="9"/>
        <v>-49464</v>
      </c>
      <c r="F63" s="5">
        <v>0.53251494973348856</v>
      </c>
      <c r="G63" s="5">
        <v>6.8182790558685077E-2</v>
      </c>
      <c r="H63" s="5">
        <v>0.18789715565634454</v>
      </c>
      <c r="I63" s="5">
        <v>5.5282504759100341E-2</v>
      </c>
      <c r="J63" s="5">
        <v>7.5469511453438052E-3</v>
      </c>
      <c r="K63" s="5">
        <v>2.5651490323367963E-2</v>
      </c>
      <c r="L63" s="5">
        <v>7.7822563866732763E-3</v>
      </c>
      <c r="M63" s="5">
        <v>0.1010513913657404</v>
      </c>
      <c r="N63" s="5">
        <v>1.4090510071253249E-2</v>
      </c>
      <c r="P63" s="5"/>
    </row>
    <row r="64" spans="2:16" x14ac:dyDescent="0.25">
      <c r="B64" s="3" t="s">
        <v>20</v>
      </c>
      <c r="C64" s="2">
        <v>121267</v>
      </c>
      <c r="D64" s="13">
        <v>0</v>
      </c>
      <c r="E64" s="7">
        <f>D64-C64</f>
        <v>-121267</v>
      </c>
      <c r="F64" s="5">
        <v>0.71757081519752208</v>
      </c>
      <c r="G64" s="5">
        <v>2.0913026679243135E-2</v>
      </c>
      <c r="H64" s="5">
        <v>0.10009491619766986</v>
      </c>
      <c r="I64" s="5">
        <v>3.2683481375966675E-2</v>
      </c>
      <c r="J64" s="5">
        <v>0</v>
      </c>
      <c r="K64" s="5">
        <v>1.5431516422689757E-2</v>
      </c>
      <c r="L64" s="5">
        <v>1.4785507487650158E-2</v>
      </c>
      <c r="M64" s="5">
        <v>7.3022144158328431E-2</v>
      </c>
      <c r="N64" s="5">
        <v>2.5498592480928398E-2</v>
      </c>
      <c r="P64" s="5"/>
    </row>
    <row r="65" spans="2:16" x14ac:dyDescent="0.25">
      <c r="B65" t="s">
        <v>17</v>
      </c>
      <c r="C65" s="2">
        <v>67356</v>
      </c>
      <c r="D65" s="13">
        <v>0</v>
      </c>
      <c r="E65" s="7">
        <f>D65-C65</f>
        <v>-67356</v>
      </c>
      <c r="F65" s="5">
        <v>0.2541534840678788</v>
      </c>
      <c r="G65" s="5">
        <v>4.0862367653322726E-2</v>
      </c>
      <c r="H65" s="5">
        <v>0.11579192918162676</v>
      </c>
      <c r="I65" s="5">
        <v>6.0269522245932933E-2</v>
      </c>
      <c r="J65" s="5">
        <v>0</v>
      </c>
      <c r="K65" s="5">
        <v>0.10097496424109093</v>
      </c>
      <c r="L65" s="5">
        <v>0.15277300380515058</v>
      </c>
      <c r="M65" s="5">
        <v>0.20917492420031655</v>
      </c>
      <c r="N65" s="5">
        <v>6.5999804604674625E-2</v>
      </c>
      <c r="P65" s="5"/>
    </row>
    <row r="66" spans="2:16" x14ac:dyDescent="0.25">
      <c r="B66" s="3"/>
      <c r="C66" s="4"/>
      <c r="D66" s="13"/>
      <c r="E66" s="8"/>
      <c r="F66" s="6"/>
      <c r="G66" s="6"/>
      <c r="H66" s="6"/>
      <c r="I66" s="6"/>
      <c r="J66" s="6"/>
    </row>
    <row r="67" spans="2:16" s="24" customFormat="1" x14ac:dyDescent="0.25">
      <c r="B67" s="24" t="s">
        <v>41</v>
      </c>
      <c r="C67" s="25">
        <v>137893</v>
      </c>
      <c r="D67" s="25">
        <v>195000</v>
      </c>
      <c r="E67" s="26">
        <v>57107</v>
      </c>
      <c r="F67" s="27">
        <v>0.24945576986471432</v>
      </c>
      <c r="G67" s="27">
        <v>6.2352940903402237E-2</v>
      </c>
      <c r="H67" s="27">
        <v>0.19618573512172374</v>
      </c>
      <c r="I67" s="27">
        <v>4.8372203742844525E-2</v>
      </c>
      <c r="J67" s="27">
        <v>1.7038217225533607E-2</v>
      </c>
      <c r="K67" s="27">
        <v>3.7486746352681274E-2</v>
      </c>
      <c r="L67" s="27">
        <v>0.2252965499911212</v>
      </c>
      <c r="M67" s="27">
        <v>0.13752920263418653</v>
      </c>
      <c r="N67" s="27">
        <v>2.6282634163800854E-2</v>
      </c>
    </row>
    <row r="68" spans="2:16" x14ac:dyDescent="0.25">
      <c r="C68" s="2"/>
      <c r="D68" s="13"/>
      <c r="E68" s="7"/>
      <c r="F68" s="5"/>
      <c r="G68" s="5"/>
      <c r="H68" s="5"/>
      <c r="I68" s="5"/>
      <c r="J68" s="5"/>
    </row>
    <row r="69" spans="2:16" x14ac:dyDescent="0.25">
      <c r="B69" t="s">
        <v>5</v>
      </c>
      <c r="C69" s="2">
        <v>49865</v>
      </c>
      <c r="D69" s="13">
        <v>0</v>
      </c>
      <c r="E69" s="7">
        <f t="shared" ref="E69:E70" si="10">D69-C69</f>
        <v>-49865</v>
      </c>
      <c r="F69" s="5">
        <v>0.22660504335995957</v>
      </c>
      <c r="G69" s="5">
        <v>0.27706952082289227</v>
      </c>
      <c r="H69" s="5">
        <v>0.15962524577584558</v>
      </c>
      <c r="I69" s="5">
        <v>0.16354416061302643</v>
      </c>
      <c r="J69" s="5">
        <v>1.0886199336278261E-2</v>
      </c>
      <c r="K69" s="5">
        <v>2.5586183288385873E-2</v>
      </c>
      <c r="L69" s="5">
        <v>5.2754297774716179E-2</v>
      </c>
      <c r="M69" s="5">
        <v>7.6492652130998207E-2</v>
      </c>
      <c r="N69" s="5">
        <v>7.4366968978852059E-3</v>
      </c>
      <c r="P69" s="5"/>
    </row>
    <row r="70" spans="2:16" x14ac:dyDescent="0.25">
      <c r="B70" t="s">
        <v>23</v>
      </c>
      <c r="C70" s="2">
        <f>120216+37209</f>
        <v>157425</v>
      </c>
      <c r="D70" s="13">
        <f>45000+18605</f>
        <v>63605</v>
      </c>
      <c r="E70" s="7">
        <f t="shared" si="10"/>
        <v>-93820</v>
      </c>
      <c r="F70" s="5">
        <v>0.19313644932551319</v>
      </c>
      <c r="G70" s="5">
        <v>0.15752334182183139</v>
      </c>
      <c r="H70" s="5">
        <v>0.18323041326079539</v>
      </c>
      <c r="I70" s="5">
        <v>0.16139709528079782</v>
      </c>
      <c r="J70" s="5">
        <v>6.2969369485950749E-2</v>
      </c>
      <c r="K70" s="5">
        <v>2.2060714683873456E-2</v>
      </c>
      <c r="L70" s="5">
        <v>1.7129471196421873E-3</v>
      </c>
      <c r="M70" s="5">
        <v>0.16681355539990197</v>
      </c>
      <c r="N70" s="5">
        <v>5.1156113621688593E-2</v>
      </c>
      <c r="P70" s="5"/>
    </row>
    <row r="71" spans="2:16" ht="15.75" thickBot="1" x14ac:dyDescent="0.3">
      <c r="C71" s="2"/>
    </row>
    <row r="72" spans="2:16" ht="15.75" thickBot="1" x14ac:dyDescent="0.3">
      <c r="B72" s="14" t="s">
        <v>28</v>
      </c>
      <c r="F72" s="15">
        <f t="shared" ref="F72:N72" si="11">SUMPRODUCT($E60:$E70,F60:F70)</f>
        <v>-231509.02492217711</v>
      </c>
      <c r="G72" s="16">
        <f t="shared" si="11"/>
        <v>-44010.881842952273</v>
      </c>
      <c r="H72" s="16">
        <f t="shared" si="11"/>
        <v>-61777.799608715701</v>
      </c>
      <c r="I72" s="16">
        <f t="shared" si="11"/>
        <v>-44348.845911035816</v>
      </c>
      <c r="J72" s="16">
        <f t="shared" si="11"/>
        <v>-6857.2379292215883</v>
      </c>
      <c r="K72" s="16">
        <f t="shared" si="11"/>
        <v>-19491.031296203997</v>
      </c>
      <c r="L72" s="16">
        <f t="shared" si="11"/>
        <v>-13500.561208237315</v>
      </c>
      <c r="M72" s="16">
        <f t="shared" si="11"/>
        <v>-60280.762257276263</v>
      </c>
      <c r="N72" s="17">
        <f t="shared" si="11"/>
        <v>-16742.855024177989</v>
      </c>
    </row>
    <row r="74" spans="2:16" x14ac:dyDescent="0.25">
      <c r="E74" t="s">
        <v>42</v>
      </c>
      <c r="F74" s="2">
        <f t="shared" ref="F74:N74" si="12">SUMPRODUCT($C60:$C70,F60:F70)</f>
        <v>429934.14655109815</v>
      </c>
      <c r="G74" s="2">
        <f t="shared" si="12"/>
        <v>89618.55907700173</v>
      </c>
      <c r="H74" s="2">
        <f t="shared" si="12"/>
        <v>157617.07876948474</v>
      </c>
      <c r="I74" s="2">
        <f t="shared" si="12"/>
        <v>83419.893475059158</v>
      </c>
      <c r="J74" s="2">
        <f t="shared" si="12"/>
        <v>18222.032806287934</v>
      </c>
      <c r="K74" s="2">
        <f t="shared" si="12"/>
        <v>45454.728878529466</v>
      </c>
      <c r="L74" s="2">
        <f t="shared" si="12"/>
        <v>64893.441597613622</v>
      </c>
      <c r="M74" s="2">
        <f t="shared" si="12"/>
        <v>138377.49532156944</v>
      </c>
      <c r="N74" s="2">
        <f t="shared" si="12"/>
        <v>33944.623523359282</v>
      </c>
    </row>
    <row r="75" spans="2:16" x14ac:dyDescent="0.25">
      <c r="B75" s="19" t="s">
        <v>55</v>
      </c>
      <c r="E75" t="s">
        <v>43</v>
      </c>
      <c r="F75" s="2">
        <f t="shared" ref="F75:N75" si="13">SUMPRODUCT($D60:$D70,F60:F70)</f>
        <v>198425.12162892104</v>
      </c>
      <c r="G75" s="2">
        <f t="shared" si="13"/>
        <v>45607.67723404945</v>
      </c>
      <c r="H75" s="2">
        <f t="shared" si="13"/>
        <v>95839.27916076906</v>
      </c>
      <c r="I75" s="2">
        <f t="shared" si="13"/>
        <v>39071.047564023334</v>
      </c>
      <c r="J75" s="2">
        <f t="shared" si="13"/>
        <v>11364.794877066346</v>
      </c>
      <c r="K75" s="2">
        <f t="shared" si="13"/>
        <v>25963.697582325469</v>
      </c>
      <c r="L75" s="2">
        <f t="shared" si="13"/>
        <v>51392.880389376311</v>
      </c>
      <c r="M75" s="2">
        <f t="shared" si="13"/>
        <v>78096.733064293177</v>
      </c>
      <c r="N75" s="2">
        <f t="shared" si="13"/>
        <v>17201.768499181293</v>
      </c>
    </row>
    <row r="76" spans="2:16" x14ac:dyDescent="0.25">
      <c r="F76" s="23">
        <f t="shared" ref="F76" si="14">(F75-F74)/F74</f>
        <v>-0.5384755474281967</v>
      </c>
      <c r="G76" s="23">
        <f t="shared" ref="G76" si="15">(G75-G74)/G74</f>
        <v>-0.49109115674508236</v>
      </c>
      <c r="H76" s="23">
        <f t="shared" ref="H76" si="16">(H75-H74)/H74</f>
        <v>-0.39194863964625193</v>
      </c>
      <c r="I76" s="23">
        <f t="shared" ref="I76" si="17">(I75-I74)/I74</f>
        <v>-0.53163393123122626</v>
      </c>
      <c r="J76" s="23">
        <f t="shared" ref="J76" si="18">(J75-J74)/J74</f>
        <v>-0.37631574929748451</v>
      </c>
      <c r="K76" s="23">
        <f t="shared" ref="K76" si="19">(K75-K74)/K74</f>
        <v>-0.42880095816412583</v>
      </c>
      <c r="L76" s="23">
        <f t="shared" ref="L76" si="20">(L75-L74)/L74</f>
        <v>-0.2080419974016878</v>
      </c>
      <c r="M76" s="23">
        <f t="shared" ref="M76" si="21">(M75-M74)/M74</f>
        <v>-0.43562547592867196</v>
      </c>
      <c r="N76" s="23">
        <f t="shared" ref="N76" si="22">(N75-N74)/N74</f>
        <v>-0.49324026270776727</v>
      </c>
    </row>
  </sheetData>
  <hyperlinks>
    <hyperlink ref="B5" r:id="rId1"/>
  </hyperlinks>
  <pageMargins left="0.7" right="0.7" top="0.75" bottom="0.75" header="0.3" footer="0.3"/>
  <pageSetup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Clemens (mclemens@cgdev.org)</dc:creator>
  <cp:lastModifiedBy>Michael Clemens (mclemens@cgdev.org)</cp:lastModifiedBy>
  <dcterms:created xsi:type="dcterms:W3CDTF">2018-01-29T14:13:16Z</dcterms:created>
  <dcterms:modified xsi:type="dcterms:W3CDTF">2018-02-06T15:18:40Z</dcterms:modified>
</cp:coreProperties>
</file>