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jgaines\Desktop\"/>
    </mc:Choice>
  </mc:AlternateContent>
  <xr:revisionPtr revIDLastSave="0" documentId="13_ncr:1_{DD0C4C23-BE59-4DCA-A086-A6C030FFBB85}" xr6:coauthVersionLast="45" xr6:coauthVersionMax="45" xr10:uidLastSave="{00000000-0000-0000-0000-000000000000}"/>
  <bookViews>
    <workbookView xWindow="14880" yWindow="-9045" windowWidth="21600" windowHeight="11512" tabRatio="885" xr2:uid="{954BC2E4-76FB-C94F-8004-0D519190D49F}"/>
  </bookViews>
  <sheets>
    <sheet name="READ ME" sheetId="24" r:id="rId1"/>
    <sheet name=" Results (Original Currency)" sheetId="3" r:id="rId2"/>
    <sheet name="Results (USD)" sheetId="30" r:id="rId3"/>
    <sheet name="ROC - Outstanding Balances" sheetId="6" r:id="rId4"/>
    <sheet name="Data" sheetId="5" r:id="rId5"/>
    <sheet name="ROC Loan #1" sheetId="1" r:id="rId6"/>
    <sheet name="ROC Loan #2" sheetId="7" r:id="rId7"/>
    <sheet name="ROC Loan #3" sheetId="8" r:id="rId8"/>
    <sheet name="ROC Loan #4" sheetId="9" r:id="rId9"/>
    <sheet name="ROC Loan #5" sheetId="10" r:id="rId10"/>
    <sheet name="ROC Loan #6" sheetId="11" r:id="rId11"/>
    <sheet name="ROC Loan #7" sheetId="12" r:id="rId12"/>
    <sheet name="ROC Loan #8" sheetId="13" r:id="rId13"/>
    <sheet name="ROC CMEC 2018 Loan" sheetId="14" r:id="rId14"/>
    <sheet name="Seychelles Loan #1" sheetId="2" r:id="rId15"/>
    <sheet name="Seychelles Loan #2" sheetId="15" r:id="rId16"/>
    <sheet name="Seychelles Loan #3" sheetId="16" r:id="rId17"/>
    <sheet name="Seychelles Loan UAE" sheetId="18" r:id="rId18"/>
    <sheet name="Seychelles Loan FRA" sheetId="19" r:id="rId19"/>
    <sheet name="Seychelles Loan DEU" sheetId="20" r:id="rId20"/>
    <sheet name="Seychelles Loan JPN" sheetId="21" r:id="rId21"/>
    <sheet name="Seychelles Loan KWT" sheetId="22" r:id="rId22"/>
    <sheet name="Seychelles Loan GBR" sheetId="23"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30" l="1"/>
  <c r="AM29" i="16"/>
  <c r="AM48" i="16" s="1"/>
  <c r="AM28" i="16"/>
  <c r="AG50" i="16"/>
  <c r="AH50" i="16"/>
  <c r="AI50" i="16"/>
  <c r="AJ50" i="16"/>
  <c r="AK50" i="16"/>
  <c r="AL50" i="16"/>
  <c r="AG49" i="16"/>
  <c r="AH49" i="16"/>
  <c r="AI49" i="16"/>
  <c r="AJ49" i="16"/>
  <c r="AK49" i="16"/>
  <c r="AL49" i="16"/>
  <c r="AG48" i="16"/>
  <c r="AH48" i="16"/>
  <c r="AI48" i="16"/>
  <c r="AJ48" i="16"/>
  <c r="AK48" i="16"/>
  <c r="AL48" i="16"/>
  <c r="AF50" i="16"/>
  <c r="AF49" i="16"/>
  <c r="AF48" i="16"/>
  <c r="BP29" i="15"/>
  <c r="BP28" i="15"/>
  <c r="BF50" i="15"/>
  <c r="BG50" i="15"/>
  <c r="BH50" i="15"/>
  <c r="BI50" i="15"/>
  <c r="BJ50" i="15"/>
  <c r="BK50" i="15"/>
  <c r="BL50" i="15"/>
  <c r="BM50" i="15"/>
  <c r="BN50" i="15"/>
  <c r="BO50" i="15"/>
  <c r="BP50" i="15"/>
  <c r="BF49" i="15"/>
  <c r="BG49" i="15"/>
  <c r="BH49" i="15"/>
  <c r="BI49" i="15"/>
  <c r="BJ49" i="15"/>
  <c r="BK49" i="15"/>
  <c r="BL49" i="15"/>
  <c r="BM49" i="15"/>
  <c r="BN49" i="15"/>
  <c r="BO49" i="15"/>
  <c r="BP49" i="15"/>
  <c r="BF48" i="15"/>
  <c r="BG48" i="15"/>
  <c r="BH48" i="15"/>
  <c r="BI48" i="15"/>
  <c r="BJ48" i="15"/>
  <c r="BK48" i="15"/>
  <c r="BL48" i="15"/>
  <c r="BM48" i="15"/>
  <c r="BN48" i="15"/>
  <c r="BO48" i="15"/>
  <c r="BP48" i="15"/>
  <c r="BE50" i="15"/>
  <c r="BE49" i="15"/>
  <c r="BE48" i="15"/>
  <c r="AX29" i="2"/>
  <c r="AR50" i="2"/>
  <c r="AS50" i="2"/>
  <c r="AT50" i="2"/>
  <c r="AU50" i="2"/>
  <c r="AV50" i="2"/>
  <c r="AW50" i="2"/>
  <c r="AX50" i="2"/>
  <c r="AR49" i="2"/>
  <c r="AS49" i="2"/>
  <c r="AT49" i="2"/>
  <c r="AU49" i="2"/>
  <c r="AV49" i="2"/>
  <c r="AW49" i="2"/>
  <c r="AX49" i="2"/>
  <c r="AR48" i="2"/>
  <c r="AS48" i="2"/>
  <c r="AT48" i="2"/>
  <c r="AU48" i="2"/>
  <c r="AV48" i="2"/>
  <c r="AW48" i="2"/>
  <c r="AX48" i="2"/>
  <c r="AQ50" i="2"/>
  <c r="AQ49" i="2"/>
  <c r="AQ48" i="2"/>
  <c r="I20" i="2"/>
  <c r="AM49" i="16" l="1"/>
  <c r="AM50" i="16"/>
  <c r="B7" i="6" l="1"/>
  <c r="B5" i="6"/>
  <c r="B4" i="6"/>
  <c r="G52" i="30" l="1"/>
  <c r="G51" i="30"/>
  <c r="G50" i="30"/>
  <c r="G49" i="30"/>
  <c r="F52" i="30"/>
  <c r="F51" i="30"/>
  <c r="F50" i="30"/>
  <c r="F49" i="30"/>
  <c r="D52" i="30"/>
  <c r="D51" i="30"/>
  <c r="D50" i="30"/>
  <c r="D49" i="30"/>
  <c r="C52" i="30"/>
  <c r="C51" i="30"/>
  <c r="C50" i="30"/>
  <c r="C49" i="30"/>
  <c r="B52" i="30"/>
  <c r="B51" i="30"/>
  <c r="B50" i="30"/>
  <c r="B49" i="30"/>
  <c r="G48" i="30"/>
  <c r="F48" i="30"/>
  <c r="D48" i="30"/>
  <c r="C48" i="30"/>
  <c r="B48" i="30"/>
  <c r="G47" i="30"/>
  <c r="H47" i="30" s="1"/>
  <c r="F47" i="30"/>
  <c r="D47" i="30"/>
  <c r="C47" i="30"/>
  <c r="B47" i="30"/>
  <c r="G46" i="30"/>
  <c r="G45" i="30"/>
  <c r="G44" i="30"/>
  <c r="F46" i="30"/>
  <c r="F45" i="30"/>
  <c r="F44" i="30"/>
  <c r="D46" i="30"/>
  <c r="D45" i="30"/>
  <c r="D44" i="30"/>
  <c r="C46" i="30"/>
  <c r="C45" i="30"/>
  <c r="C44" i="30"/>
  <c r="B46" i="30"/>
  <c r="B45" i="30"/>
  <c r="B44" i="30"/>
  <c r="G43" i="30"/>
  <c r="G42" i="30"/>
  <c r="F43" i="30"/>
  <c r="F42" i="30"/>
  <c r="D43" i="30"/>
  <c r="D42" i="30"/>
  <c r="C43" i="30"/>
  <c r="C42" i="30"/>
  <c r="B43" i="30"/>
  <c r="B42" i="30"/>
  <c r="B34" i="30"/>
  <c r="B33" i="30"/>
  <c r="B32" i="30"/>
  <c r="K52" i="30"/>
  <c r="J52" i="30"/>
  <c r="K51" i="30"/>
  <c r="J51" i="30"/>
  <c r="K50" i="30"/>
  <c r="J50" i="30"/>
  <c r="K49" i="30"/>
  <c r="J49" i="30"/>
  <c r="K48" i="30"/>
  <c r="J48" i="30"/>
  <c r="K47" i="30"/>
  <c r="J47" i="30"/>
  <c r="K46" i="30"/>
  <c r="J46" i="30"/>
  <c r="K45" i="30"/>
  <c r="J45" i="30"/>
  <c r="K44" i="30"/>
  <c r="J44" i="30"/>
  <c r="L44" i="30" s="1"/>
  <c r="K43" i="30"/>
  <c r="J43" i="30"/>
  <c r="K42" i="30"/>
  <c r="J42" i="30"/>
  <c r="K41" i="30"/>
  <c r="J41" i="30"/>
  <c r="G41" i="30"/>
  <c r="G53" i="30" s="1"/>
  <c r="F41" i="30"/>
  <c r="F53" i="30" s="1"/>
  <c r="D41" i="30"/>
  <c r="D53" i="30" s="1"/>
  <c r="E53" i="30" s="1"/>
  <c r="C41" i="30"/>
  <c r="C53" i="30" s="1"/>
  <c r="K26" i="30"/>
  <c r="J26" i="30"/>
  <c r="G26" i="30"/>
  <c r="F26" i="30"/>
  <c r="D26" i="30"/>
  <c r="C26" i="30"/>
  <c r="B26" i="30"/>
  <c r="K19" i="30"/>
  <c r="J19" i="30"/>
  <c r="G19" i="30"/>
  <c r="F19" i="30"/>
  <c r="D19" i="30"/>
  <c r="C19" i="30"/>
  <c r="B19" i="30"/>
  <c r="K18" i="30"/>
  <c r="J18" i="30"/>
  <c r="G18" i="30"/>
  <c r="F18" i="30"/>
  <c r="D18" i="30"/>
  <c r="C18" i="30"/>
  <c r="B18" i="30"/>
  <c r="K17" i="30"/>
  <c r="J17" i="30"/>
  <c r="G17" i="30"/>
  <c r="F17" i="30"/>
  <c r="D17" i="30"/>
  <c r="C17" i="30"/>
  <c r="B17" i="30"/>
  <c r="K16" i="30"/>
  <c r="J16" i="30"/>
  <c r="G16" i="30"/>
  <c r="F16" i="30"/>
  <c r="D16" i="30"/>
  <c r="C16" i="30"/>
  <c r="B16" i="30"/>
  <c r="K15" i="30"/>
  <c r="J15" i="30"/>
  <c r="G15" i="30"/>
  <c r="F15" i="30"/>
  <c r="D15" i="30"/>
  <c r="C15" i="30"/>
  <c r="B15" i="30"/>
  <c r="K14" i="30"/>
  <c r="J14" i="30"/>
  <c r="G14" i="30"/>
  <c r="F14" i="30"/>
  <c r="D14" i="30"/>
  <c r="C14" i="30"/>
  <c r="B14" i="30"/>
  <c r="K13" i="30"/>
  <c r="J13" i="30"/>
  <c r="G13" i="30"/>
  <c r="F13" i="30"/>
  <c r="D13" i="30"/>
  <c r="C13" i="30"/>
  <c r="B13" i="30"/>
  <c r="K12" i="30"/>
  <c r="J12" i="30"/>
  <c r="G12" i="30"/>
  <c r="F12" i="30"/>
  <c r="D12" i="30"/>
  <c r="C12" i="30"/>
  <c r="B12" i="30"/>
  <c r="J53" i="30" l="1"/>
  <c r="K53" i="30"/>
  <c r="B53" i="30"/>
  <c r="H46" i="30"/>
  <c r="H53" i="30"/>
  <c r="I53" i="30"/>
  <c r="H48" i="30"/>
  <c r="I44" i="30"/>
  <c r="E47" i="30"/>
  <c r="E14" i="30"/>
  <c r="I16" i="30"/>
  <c r="L18" i="30"/>
  <c r="L50" i="30"/>
  <c r="L52" i="30"/>
  <c r="H43" i="30"/>
  <c r="E26" i="30"/>
  <c r="H42" i="30"/>
  <c r="H45" i="30"/>
  <c r="I41" i="30"/>
  <c r="C20" i="30"/>
  <c r="E13" i="30"/>
  <c r="I15" i="30"/>
  <c r="L42" i="30"/>
  <c r="H49" i="30"/>
  <c r="H17" i="30"/>
  <c r="L19" i="30"/>
  <c r="L41" i="30"/>
  <c r="L43" i="30"/>
  <c r="L49" i="30"/>
  <c r="H51" i="30"/>
  <c r="H50" i="30"/>
  <c r="H52" i="30"/>
  <c r="F20" i="30"/>
  <c r="I13" i="30"/>
  <c r="L16" i="30"/>
  <c r="L48" i="30"/>
  <c r="G20" i="30"/>
  <c r="I20" i="30" s="1"/>
  <c r="L14" i="30"/>
  <c r="L15" i="30"/>
  <c r="I26" i="30"/>
  <c r="E17" i="30"/>
  <c r="H41" i="30"/>
  <c r="H15" i="30"/>
  <c r="I19" i="30"/>
  <c r="B35" i="30"/>
  <c r="E16" i="30"/>
  <c r="L26" i="30"/>
  <c r="E41" i="30"/>
  <c r="L46" i="30"/>
  <c r="L47" i="30"/>
  <c r="I43" i="30"/>
  <c r="H44" i="30"/>
  <c r="I14" i="30"/>
  <c r="I51" i="30"/>
  <c r="I52" i="30"/>
  <c r="I49" i="30"/>
  <c r="E48" i="30"/>
  <c r="I45" i="30"/>
  <c r="E46" i="30"/>
  <c r="E45" i="30"/>
  <c r="E44" i="30"/>
  <c r="I42" i="30"/>
  <c r="E42" i="30"/>
  <c r="E12" i="30"/>
  <c r="E15" i="30"/>
  <c r="E19" i="30"/>
  <c r="L45" i="30"/>
  <c r="E49" i="30"/>
  <c r="I50" i="30"/>
  <c r="E18" i="30"/>
  <c r="H12" i="30"/>
  <c r="I18" i="30"/>
  <c r="I47" i="30"/>
  <c r="I48" i="30"/>
  <c r="L51" i="30"/>
  <c r="I12" i="30"/>
  <c r="I17" i="30"/>
  <c r="E43" i="30"/>
  <c r="I46" i="30"/>
  <c r="E52" i="30"/>
  <c r="B20" i="30"/>
  <c r="L12" i="30"/>
  <c r="L13" i="30"/>
  <c r="L17" i="30"/>
  <c r="E50" i="30"/>
  <c r="E51" i="30"/>
  <c r="J20" i="30"/>
  <c r="K20" i="30"/>
  <c r="H18" i="30"/>
  <c r="H13" i="30"/>
  <c r="H26" i="30"/>
  <c r="H16" i="30"/>
  <c r="D20" i="30"/>
  <c r="H19" i="30"/>
  <c r="H14" i="30"/>
  <c r="G124" i="18"/>
  <c r="F124" i="18"/>
  <c r="G65" i="18"/>
  <c r="F65" i="18"/>
  <c r="G16" i="18"/>
  <c r="F16" i="18"/>
  <c r="G74" i="19"/>
  <c r="F74" i="19"/>
  <c r="G16" i="19"/>
  <c r="F16" i="19"/>
  <c r="G16" i="20"/>
  <c r="F16" i="20"/>
  <c r="G16" i="21"/>
  <c r="F16" i="21"/>
  <c r="G16" i="22"/>
  <c r="F16" i="22"/>
  <c r="G16" i="23"/>
  <c r="G66" i="23"/>
  <c r="G117" i="23"/>
  <c r="G167" i="23"/>
  <c r="F167" i="23"/>
  <c r="F117" i="23"/>
  <c r="F66" i="23"/>
  <c r="F16" i="23"/>
  <c r="D172" i="23"/>
  <c r="D122" i="23"/>
  <c r="D71" i="23"/>
  <c r="D21" i="23"/>
  <c r="D21" i="22"/>
  <c r="D21" i="21"/>
  <c r="D21" i="20"/>
  <c r="D80" i="19"/>
  <c r="D22" i="19"/>
  <c r="D129" i="18"/>
  <c r="D71" i="18"/>
  <c r="D21" i="18"/>
  <c r="D24" i="2"/>
  <c r="D193" i="23"/>
  <c r="D194" i="23"/>
  <c r="D196" i="23"/>
  <c r="D197" i="23"/>
  <c r="D198" i="23"/>
  <c r="D192" i="23"/>
  <c r="D182" i="23"/>
  <c r="D183" i="23"/>
  <c r="D185" i="23"/>
  <c r="D186" i="23"/>
  <c r="D187" i="23"/>
  <c r="D181" i="23"/>
  <c r="D143" i="23"/>
  <c r="D144" i="23"/>
  <c r="D146" i="23"/>
  <c r="D147" i="23"/>
  <c r="D148" i="23"/>
  <c r="D142" i="23"/>
  <c r="D132" i="23"/>
  <c r="D133" i="23"/>
  <c r="D135" i="23"/>
  <c r="D136" i="23"/>
  <c r="D137" i="23"/>
  <c r="D131" i="23"/>
  <c r="D92" i="23"/>
  <c r="D93" i="23"/>
  <c r="D95" i="23"/>
  <c r="D96" i="23"/>
  <c r="D97" i="23"/>
  <c r="D91" i="23"/>
  <c r="D81" i="23"/>
  <c r="D82" i="23"/>
  <c r="D84" i="23"/>
  <c r="D85" i="23"/>
  <c r="D86" i="23"/>
  <c r="D80" i="23"/>
  <c r="D42" i="23"/>
  <c r="D43" i="23"/>
  <c r="D45" i="23"/>
  <c r="D46" i="23"/>
  <c r="D47" i="23"/>
  <c r="D41" i="23"/>
  <c r="D31" i="23"/>
  <c r="D32" i="23"/>
  <c r="D34" i="23"/>
  <c r="D35" i="23"/>
  <c r="D36" i="23"/>
  <c r="D30" i="23"/>
  <c r="D42" i="22"/>
  <c r="D43" i="22"/>
  <c r="D45" i="22"/>
  <c r="D46" i="22"/>
  <c r="D47" i="22"/>
  <c r="D41" i="22"/>
  <c r="D31" i="22"/>
  <c r="D32" i="22"/>
  <c r="D34" i="22"/>
  <c r="D35" i="22"/>
  <c r="D36" i="22"/>
  <c r="D30" i="22"/>
  <c r="D42" i="21"/>
  <c r="D43" i="21"/>
  <c r="D45" i="21"/>
  <c r="D46" i="21"/>
  <c r="D47" i="21"/>
  <c r="D41" i="21"/>
  <c r="D31" i="21"/>
  <c r="D32" i="21"/>
  <c r="D34" i="21"/>
  <c r="D35" i="21"/>
  <c r="D36" i="21"/>
  <c r="D30" i="21"/>
  <c r="D42" i="20"/>
  <c r="D43" i="20"/>
  <c r="D45" i="20"/>
  <c r="D46" i="20"/>
  <c r="D47" i="20"/>
  <c r="D41" i="20"/>
  <c r="D31" i="20"/>
  <c r="D32" i="20"/>
  <c r="D34" i="20"/>
  <c r="D35" i="20"/>
  <c r="D36" i="20"/>
  <c r="D30" i="20"/>
  <c r="D150" i="18"/>
  <c r="D151" i="18"/>
  <c r="D153" i="18"/>
  <c r="D154" i="18"/>
  <c r="D155" i="18"/>
  <c r="D149" i="18"/>
  <c r="D100" i="18"/>
  <c r="D101" i="18"/>
  <c r="D103" i="18"/>
  <c r="G61" i="18" s="1"/>
  <c r="D104" i="18"/>
  <c r="D105" i="18"/>
  <c r="D99" i="18"/>
  <c r="D42" i="18"/>
  <c r="D43" i="18"/>
  <c r="D45" i="18"/>
  <c r="D46" i="18"/>
  <c r="D47" i="18"/>
  <c r="D41" i="18"/>
  <c r="D103" i="19"/>
  <c r="D100" i="19"/>
  <c r="D90" i="19"/>
  <c r="D91" i="19"/>
  <c r="D93" i="19"/>
  <c r="D94" i="19"/>
  <c r="D95" i="19"/>
  <c r="D89" i="19"/>
  <c r="D51" i="19"/>
  <c r="D52" i="19"/>
  <c r="D54" i="19"/>
  <c r="D55" i="19"/>
  <c r="D56" i="19"/>
  <c r="D45" i="19"/>
  <c r="D42" i="19"/>
  <c r="D32" i="19"/>
  <c r="D33" i="19"/>
  <c r="D35" i="19"/>
  <c r="D36" i="19"/>
  <c r="D37" i="19"/>
  <c r="D31" i="19"/>
  <c r="D139" i="18"/>
  <c r="D140" i="18"/>
  <c r="D142" i="18"/>
  <c r="D143" i="18"/>
  <c r="D144" i="18"/>
  <c r="D138" i="18"/>
  <c r="D94" i="18"/>
  <c r="D91" i="18"/>
  <c r="D81" i="18"/>
  <c r="D82" i="18"/>
  <c r="D84" i="18"/>
  <c r="D85" i="18"/>
  <c r="D86" i="18"/>
  <c r="D80" i="18"/>
  <c r="G54" i="18" s="1"/>
  <c r="G12" i="18"/>
  <c r="D31" i="18"/>
  <c r="D32" i="18"/>
  <c r="D34" i="18"/>
  <c r="D35" i="18"/>
  <c r="D36" i="18"/>
  <c r="D30" i="18"/>
  <c r="I110" i="19"/>
  <c r="J110" i="19"/>
  <c r="K110" i="19"/>
  <c r="L110" i="19"/>
  <c r="M110" i="19"/>
  <c r="N110" i="19"/>
  <c r="O110" i="19"/>
  <c r="P110" i="19"/>
  <c r="Q110" i="19"/>
  <c r="R110" i="19"/>
  <c r="S110" i="19"/>
  <c r="T110" i="19"/>
  <c r="U110" i="19"/>
  <c r="V110" i="19"/>
  <c r="W110" i="19"/>
  <c r="X110" i="19"/>
  <c r="Y110" i="19"/>
  <c r="Z110" i="19"/>
  <c r="AA110" i="19"/>
  <c r="AB110" i="19"/>
  <c r="AC110" i="19"/>
  <c r="AD110" i="19"/>
  <c r="AE110" i="19"/>
  <c r="AF110" i="19"/>
  <c r="AG110" i="19"/>
  <c r="AH110" i="19"/>
  <c r="AI110" i="19"/>
  <c r="AJ110" i="19"/>
  <c r="AK110" i="19"/>
  <c r="AL110" i="19"/>
  <c r="AM110" i="19"/>
  <c r="AN110" i="19"/>
  <c r="AO110" i="19"/>
  <c r="AP110" i="19"/>
  <c r="AQ110" i="19"/>
  <c r="I109" i="19"/>
  <c r="J109" i="19"/>
  <c r="K109" i="19"/>
  <c r="L109" i="19"/>
  <c r="M109" i="19"/>
  <c r="N109" i="19"/>
  <c r="O109" i="19"/>
  <c r="P109" i="19"/>
  <c r="Q109" i="19"/>
  <c r="R109" i="19"/>
  <c r="S109" i="19"/>
  <c r="T109" i="19"/>
  <c r="U109" i="19"/>
  <c r="V109" i="19"/>
  <c r="W109" i="19"/>
  <c r="X109" i="19"/>
  <c r="Y109" i="19"/>
  <c r="Z109" i="19"/>
  <c r="AA109" i="19"/>
  <c r="AB109" i="19"/>
  <c r="AC109" i="19"/>
  <c r="AD109" i="19"/>
  <c r="AE109" i="19"/>
  <c r="AF109" i="19"/>
  <c r="AG109" i="19"/>
  <c r="AH109" i="19"/>
  <c r="AI109" i="19"/>
  <c r="AJ109" i="19"/>
  <c r="AK109" i="19"/>
  <c r="AL109" i="19"/>
  <c r="AM109" i="19"/>
  <c r="AN109" i="19"/>
  <c r="AO109" i="19"/>
  <c r="AP109" i="19"/>
  <c r="AQ109" i="19"/>
  <c r="I108" i="19"/>
  <c r="J108" i="19"/>
  <c r="K108" i="19"/>
  <c r="L108" i="19"/>
  <c r="M108" i="19"/>
  <c r="N108" i="19"/>
  <c r="O108" i="19"/>
  <c r="P108" i="19"/>
  <c r="Q108" i="19"/>
  <c r="R108" i="19"/>
  <c r="S108" i="19"/>
  <c r="T108" i="19"/>
  <c r="U108" i="19"/>
  <c r="V108" i="19"/>
  <c r="W108" i="19"/>
  <c r="X108" i="19"/>
  <c r="Y108" i="19"/>
  <c r="Z108" i="19"/>
  <c r="AA108" i="19"/>
  <c r="AB108" i="19"/>
  <c r="AC108" i="19"/>
  <c r="AD108" i="19"/>
  <c r="AE108" i="19"/>
  <c r="AF108" i="19"/>
  <c r="AG108" i="19"/>
  <c r="AH108" i="19"/>
  <c r="AI108" i="19"/>
  <c r="AJ108" i="19"/>
  <c r="AK108" i="19"/>
  <c r="AL108" i="19"/>
  <c r="AM108" i="19"/>
  <c r="AN108" i="19"/>
  <c r="AO108" i="19"/>
  <c r="AP108" i="19"/>
  <c r="AQ108" i="19"/>
  <c r="H110" i="19"/>
  <c r="H109" i="19"/>
  <c r="H108" i="19"/>
  <c r="X95" i="19"/>
  <c r="X94" i="19"/>
  <c r="X93" i="19"/>
  <c r="X92" i="19"/>
  <c r="X91" i="19"/>
  <c r="X90" i="19"/>
  <c r="X89" i="19"/>
  <c r="I52" i="19"/>
  <c r="J52" i="19"/>
  <c r="K52" i="19"/>
  <c r="L52" i="19"/>
  <c r="M52" i="19"/>
  <c r="N52" i="19"/>
  <c r="O52" i="19"/>
  <c r="P52" i="19"/>
  <c r="Q52" i="19"/>
  <c r="R52" i="19"/>
  <c r="S52" i="19"/>
  <c r="T52" i="19"/>
  <c r="U52" i="19"/>
  <c r="V52" i="19"/>
  <c r="W52" i="19"/>
  <c r="X52" i="19"/>
  <c r="Y52" i="19"/>
  <c r="Z52" i="19"/>
  <c r="AA52" i="19"/>
  <c r="AB52" i="19"/>
  <c r="AC52" i="19"/>
  <c r="AD52" i="19"/>
  <c r="AE52" i="19"/>
  <c r="AF52" i="19"/>
  <c r="AG52" i="19"/>
  <c r="AH52" i="19"/>
  <c r="AI52" i="19"/>
  <c r="AJ52" i="19"/>
  <c r="AK52" i="19"/>
  <c r="AL52" i="19"/>
  <c r="AM52" i="19"/>
  <c r="AN52" i="19"/>
  <c r="AO52" i="19"/>
  <c r="AP52" i="19"/>
  <c r="AQ52" i="19"/>
  <c r="I51" i="19"/>
  <c r="J51" i="19"/>
  <c r="K51" i="19"/>
  <c r="L51" i="19"/>
  <c r="M51" i="19"/>
  <c r="N51" i="19"/>
  <c r="O51" i="19"/>
  <c r="P51" i="19"/>
  <c r="Q51" i="19"/>
  <c r="R51" i="19"/>
  <c r="S51" i="19"/>
  <c r="T51" i="19"/>
  <c r="U51" i="19"/>
  <c r="V51" i="19"/>
  <c r="W51" i="19"/>
  <c r="X51" i="19"/>
  <c r="Y51" i="19"/>
  <c r="Z51" i="19"/>
  <c r="AA51" i="19"/>
  <c r="AB51" i="19"/>
  <c r="AC51" i="19"/>
  <c r="AD51" i="19"/>
  <c r="AE51" i="19"/>
  <c r="AF51" i="19"/>
  <c r="AG51" i="19"/>
  <c r="AH51" i="19"/>
  <c r="AI51" i="19"/>
  <c r="AJ51" i="19"/>
  <c r="AK51" i="19"/>
  <c r="AL51" i="19"/>
  <c r="AM51" i="19"/>
  <c r="AN51" i="19"/>
  <c r="AO51" i="19"/>
  <c r="AP51" i="19"/>
  <c r="AQ51" i="19"/>
  <c r="H52" i="19"/>
  <c r="H51" i="19"/>
  <c r="I50" i="19"/>
  <c r="J50" i="19"/>
  <c r="K50" i="19"/>
  <c r="L50" i="19"/>
  <c r="M50" i="19"/>
  <c r="N50" i="19"/>
  <c r="O50" i="19"/>
  <c r="P50" i="19"/>
  <c r="Q50" i="19"/>
  <c r="R50" i="19"/>
  <c r="S50" i="19"/>
  <c r="T50" i="19"/>
  <c r="U50" i="19"/>
  <c r="V50" i="19"/>
  <c r="W50" i="19"/>
  <c r="X50" i="19"/>
  <c r="Y50" i="19"/>
  <c r="Z50" i="19"/>
  <c r="AA50" i="19"/>
  <c r="AB50" i="19"/>
  <c r="AC50" i="19"/>
  <c r="AD50" i="19"/>
  <c r="AE50" i="19"/>
  <c r="AF50" i="19"/>
  <c r="AG50" i="19"/>
  <c r="AH50" i="19"/>
  <c r="AI50" i="19"/>
  <c r="AJ50" i="19"/>
  <c r="AK50" i="19"/>
  <c r="AL50" i="19"/>
  <c r="AM50" i="19"/>
  <c r="AN50" i="19"/>
  <c r="AO50" i="19"/>
  <c r="AP50" i="19"/>
  <c r="AQ50" i="19"/>
  <c r="H50" i="19"/>
  <c r="X37" i="19"/>
  <c r="X36" i="19"/>
  <c r="X35" i="19"/>
  <c r="X34" i="19"/>
  <c r="X33" i="19"/>
  <c r="X32" i="19"/>
  <c r="X31" i="19"/>
  <c r="BE198" i="23"/>
  <c r="BF198" i="23"/>
  <c r="BG198" i="23"/>
  <c r="BH198" i="23"/>
  <c r="BI198" i="23"/>
  <c r="BJ198" i="23"/>
  <c r="BK198" i="23"/>
  <c r="BL198" i="23"/>
  <c r="BM198" i="23"/>
  <c r="BN198" i="23"/>
  <c r="BO198" i="23"/>
  <c r="BP198" i="23"/>
  <c r="BQ198" i="23"/>
  <c r="BR198" i="23"/>
  <c r="BS198" i="23"/>
  <c r="BT198" i="23"/>
  <c r="BU198" i="23"/>
  <c r="BV198" i="23"/>
  <c r="BW198" i="23"/>
  <c r="BX198" i="23"/>
  <c r="BY198" i="23"/>
  <c r="BZ198" i="23"/>
  <c r="CA198" i="23"/>
  <c r="CB198" i="23"/>
  <c r="CC198" i="23"/>
  <c r="BE197" i="23"/>
  <c r="BF197" i="23"/>
  <c r="BG197" i="23"/>
  <c r="BH197" i="23"/>
  <c r="BI197" i="23"/>
  <c r="BJ197" i="23"/>
  <c r="BK197" i="23"/>
  <c r="BL197" i="23"/>
  <c r="BM197" i="23"/>
  <c r="BN197" i="23"/>
  <c r="BO197" i="23"/>
  <c r="BP197" i="23"/>
  <c r="BQ197" i="23"/>
  <c r="BR197" i="23"/>
  <c r="BS197" i="23"/>
  <c r="BT197" i="23"/>
  <c r="BU197" i="23"/>
  <c r="BV197" i="23"/>
  <c r="BW197" i="23"/>
  <c r="BX197" i="23"/>
  <c r="BY197" i="23"/>
  <c r="BZ197" i="23"/>
  <c r="CA197" i="23"/>
  <c r="CB197" i="23"/>
  <c r="CC197" i="23"/>
  <c r="BE196" i="23"/>
  <c r="BF196" i="23"/>
  <c r="BG196" i="23"/>
  <c r="BH196" i="23"/>
  <c r="BI196" i="23"/>
  <c r="BJ196" i="23"/>
  <c r="BK196" i="23"/>
  <c r="BL196" i="23"/>
  <c r="BM196" i="23"/>
  <c r="BN196" i="23"/>
  <c r="BO196" i="23"/>
  <c r="BP196" i="23"/>
  <c r="BQ196" i="23"/>
  <c r="BR196" i="23"/>
  <c r="BS196" i="23"/>
  <c r="BT196" i="23"/>
  <c r="BU196" i="23"/>
  <c r="BV196" i="23"/>
  <c r="BW196" i="23"/>
  <c r="BX196" i="23"/>
  <c r="BY196" i="23"/>
  <c r="BZ196" i="23"/>
  <c r="CA196" i="23"/>
  <c r="CB196" i="23"/>
  <c r="CC196" i="23"/>
  <c r="BD198" i="23"/>
  <c r="BD197" i="23"/>
  <c r="BD196" i="23"/>
  <c r="F183" i="23"/>
  <c r="F182" i="23"/>
  <c r="F181" i="23"/>
  <c r="BS148" i="23"/>
  <c r="BT148" i="23"/>
  <c r="BU148" i="23"/>
  <c r="BV148" i="23"/>
  <c r="BW148" i="23"/>
  <c r="BX148" i="23"/>
  <c r="BY148" i="23"/>
  <c r="BZ148" i="23"/>
  <c r="CA148" i="23"/>
  <c r="CB148" i="23"/>
  <c r="CC148" i="23"/>
  <c r="CD148" i="23"/>
  <c r="CE148" i="23"/>
  <c r="CF148" i="23"/>
  <c r="CG148" i="23"/>
  <c r="CH148" i="23"/>
  <c r="CI148" i="23"/>
  <c r="CJ148" i="23"/>
  <c r="CK148" i="23"/>
  <c r="CL148" i="23"/>
  <c r="CM148" i="23"/>
  <c r="CN148" i="23"/>
  <c r="CO148" i="23"/>
  <c r="CP148" i="23"/>
  <c r="CQ148" i="23"/>
  <c r="BS147" i="23"/>
  <c r="BT147" i="23"/>
  <c r="BU147" i="23"/>
  <c r="BV147" i="23"/>
  <c r="BW147" i="23"/>
  <c r="BX147" i="23"/>
  <c r="BY147" i="23"/>
  <c r="BZ147" i="23"/>
  <c r="CA147" i="23"/>
  <c r="CB147" i="23"/>
  <c r="CC147" i="23"/>
  <c r="CD147" i="23"/>
  <c r="CE147" i="23"/>
  <c r="CF147" i="23"/>
  <c r="CG147" i="23"/>
  <c r="CH147" i="23"/>
  <c r="CI147" i="23"/>
  <c r="CJ147" i="23"/>
  <c r="CK147" i="23"/>
  <c r="CL147" i="23"/>
  <c r="CM147" i="23"/>
  <c r="CN147" i="23"/>
  <c r="CO147" i="23"/>
  <c r="CP147" i="23"/>
  <c r="CQ147" i="23"/>
  <c r="BS146" i="23"/>
  <c r="BT146" i="23"/>
  <c r="BU146" i="23"/>
  <c r="BV146" i="23"/>
  <c r="BW146" i="23"/>
  <c r="BX146" i="23"/>
  <c r="BY146" i="23"/>
  <c r="BZ146" i="23"/>
  <c r="CA146" i="23"/>
  <c r="CB146" i="23"/>
  <c r="CC146" i="23"/>
  <c r="CD146" i="23"/>
  <c r="CE146" i="23"/>
  <c r="CF146" i="23"/>
  <c r="CG146" i="23"/>
  <c r="CH146" i="23"/>
  <c r="CI146" i="23"/>
  <c r="CJ146" i="23"/>
  <c r="CK146" i="23"/>
  <c r="CL146" i="23"/>
  <c r="CM146" i="23"/>
  <c r="CN146" i="23"/>
  <c r="CO146" i="23"/>
  <c r="CP146" i="23"/>
  <c r="CQ146" i="23"/>
  <c r="BR148" i="23"/>
  <c r="BR147" i="23"/>
  <c r="BR146" i="23"/>
  <c r="AM47" i="23"/>
  <c r="AN47" i="23"/>
  <c r="AO47" i="23"/>
  <c r="AP47" i="23"/>
  <c r="AQ47" i="23"/>
  <c r="AR47" i="23"/>
  <c r="AS47" i="23"/>
  <c r="AT47" i="23"/>
  <c r="AU47" i="23"/>
  <c r="AV47" i="23"/>
  <c r="AW47" i="23"/>
  <c r="AX47" i="23"/>
  <c r="AY47" i="23"/>
  <c r="AZ47" i="23"/>
  <c r="BA47" i="23"/>
  <c r="BB47" i="23"/>
  <c r="BC47" i="23"/>
  <c r="BD47" i="23"/>
  <c r="BE47" i="23"/>
  <c r="BF47" i="23"/>
  <c r="BG47" i="23"/>
  <c r="BH47" i="23"/>
  <c r="BI47" i="23"/>
  <c r="BJ47" i="23"/>
  <c r="BK47" i="23"/>
  <c r="AM46" i="23"/>
  <c r="AN46" i="23"/>
  <c r="AO46" i="23"/>
  <c r="AP46" i="23"/>
  <c r="AQ46" i="23"/>
  <c r="AR46" i="23"/>
  <c r="AS46" i="23"/>
  <c r="AT46" i="23"/>
  <c r="AU46" i="23"/>
  <c r="AV46" i="23"/>
  <c r="AW46" i="23"/>
  <c r="AX46" i="23"/>
  <c r="AY46" i="23"/>
  <c r="AZ46" i="23"/>
  <c r="BA46" i="23"/>
  <c r="BB46" i="23"/>
  <c r="BC46" i="23"/>
  <c r="BD46" i="23"/>
  <c r="BE46" i="23"/>
  <c r="BF46" i="23"/>
  <c r="BG46" i="23"/>
  <c r="BH46" i="23"/>
  <c r="BI46" i="23"/>
  <c r="BJ46" i="23"/>
  <c r="BK46" i="23"/>
  <c r="AM45" i="23"/>
  <c r="AN45" i="23"/>
  <c r="AO45" i="23"/>
  <c r="AP45" i="23"/>
  <c r="AQ45" i="23"/>
  <c r="AR45" i="23"/>
  <c r="AS45" i="23"/>
  <c r="AT45" i="23"/>
  <c r="AU45" i="23"/>
  <c r="AV45" i="23"/>
  <c r="AW45" i="23"/>
  <c r="AX45" i="23"/>
  <c r="AY45" i="23"/>
  <c r="AZ45" i="23"/>
  <c r="BA45" i="23"/>
  <c r="BB45" i="23"/>
  <c r="BC45" i="23"/>
  <c r="BD45" i="23"/>
  <c r="BE45" i="23"/>
  <c r="BF45" i="23"/>
  <c r="BG45" i="23"/>
  <c r="BH45" i="23"/>
  <c r="BI45" i="23"/>
  <c r="BJ45" i="23"/>
  <c r="BK45" i="23"/>
  <c r="AL47" i="23"/>
  <c r="AL46" i="23"/>
  <c r="AL45" i="23"/>
  <c r="P46" i="22"/>
  <c r="Q46" i="22"/>
  <c r="R46" i="22"/>
  <c r="S46" i="22"/>
  <c r="T46" i="22"/>
  <c r="U46" i="22"/>
  <c r="V46" i="22"/>
  <c r="W46" i="22"/>
  <c r="X46" i="22"/>
  <c r="Y46" i="22"/>
  <c r="Z46" i="22"/>
  <c r="AA46" i="22"/>
  <c r="AB46" i="22"/>
  <c r="AC46" i="22"/>
  <c r="AD46" i="22"/>
  <c r="AE46" i="22"/>
  <c r="AF46" i="22"/>
  <c r="AG46" i="22"/>
  <c r="AH46" i="22"/>
  <c r="P45" i="22"/>
  <c r="Q45" i="22"/>
  <c r="R45" i="22"/>
  <c r="S45" i="22"/>
  <c r="T45" i="22"/>
  <c r="U45" i="22"/>
  <c r="V45" i="22"/>
  <c r="W45" i="22"/>
  <c r="X45" i="22"/>
  <c r="Y45" i="22"/>
  <c r="Z45" i="22"/>
  <c r="AA45" i="22"/>
  <c r="AB45" i="22"/>
  <c r="AC45" i="22"/>
  <c r="AD45" i="22"/>
  <c r="AE45" i="22"/>
  <c r="AF45" i="22"/>
  <c r="AG45" i="22"/>
  <c r="AH45" i="22"/>
  <c r="O46" i="22"/>
  <c r="O45" i="22"/>
  <c r="F32" i="22"/>
  <c r="F31" i="22"/>
  <c r="F30" i="22"/>
  <c r="G60" i="18"/>
  <c r="G59" i="18"/>
  <c r="G58" i="18"/>
  <c r="G55" i="18"/>
  <c r="U151" i="18"/>
  <c r="U150" i="18"/>
  <c r="U149" i="18"/>
  <c r="F140" i="18"/>
  <c r="F139" i="18"/>
  <c r="F138" i="18"/>
  <c r="AE105" i="18"/>
  <c r="AF105" i="18"/>
  <c r="AG105" i="18"/>
  <c r="AH105" i="18"/>
  <c r="AI105" i="18"/>
  <c r="AJ105" i="18"/>
  <c r="AK105" i="18"/>
  <c r="AL105" i="18"/>
  <c r="AM105" i="18"/>
  <c r="AN105" i="18"/>
  <c r="AO105" i="18"/>
  <c r="AP105" i="18"/>
  <c r="AQ105" i="18"/>
  <c r="AR105" i="18"/>
  <c r="AS105" i="18"/>
  <c r="AT105" i="18"/>
  <c r="AU105" i="18"/>
  <c r="AV105" i="18"/>
  <c r="AW105" i="18"/>
  <c r="AX105" i="18"/>
  <c r="AY105" i="18"/>
  <c r="AZ105" i="18"/>
  <c r="BA105" i="18"/>
  <c r="BB105" i="18"/>
  <c r="BC105" i="18"/>
  <c r="AE104" i="18"/>
  <c r="AF104" i="18"/>
  <c r="AG104" i="18"/>
  <c r="AH104" i="18"/>
  <c r="AI104" i="18"/>
  <c r="AJ104" i="18"/>
  <c r="AK104" i="18"/>
  <c r="AL104" i="18"/>
  <c r="AM104" i="18"/>
  <c r="AN104" i="18"/>
  <c r="AO104" i="18"/>
  <c r="AP104" i="18"/>
  <c r="AQ104" i="18"/>
  <c r="AR104" i="18"/>
  <c r="AS104" i="18"/>
  <c r="AT104" i="18"/>
  <c r="AU104" i="18"/>
  <c r="AV104" i="18"/>
  <c r="AW104" i="18"/>
  <c r="AX104" i="18"/>
  <c r="AY104" i="18"/>
  <c r="AZ104" i="18"/>
  <c r="BA104" i="18"/>
  <c r="BB104" i="18"/>
  <c r="BC104" i="18"/>
  <c r="AE103" i="18"/>
  <c r="AF103" i="18"/>
  <c r="AG103" i="18"/>
  <c r="AH103" i="18"/>
  <c r="AI103" i="18"/>
  <c r="AJ103" i="18"/>
  <c r="AK103" i="18"/>
  <c r="AL103" i="18"/>
  <c r="AM103" i="18"/>
  <c r="AN103" i="18"/>
  <c r="AO103" i="18"/>
  <c r="AP103" i="18"/>
  <c r="AQ103" i="18"/>
  <c r="AR103" i="18"/>
  <c r="AS103" i="18"/>
  <c r="AT103" i="18"/>
  <c r="AU103" i="18"/>
  <c r="AV103" i="18"/>
  <c r="AW103" i="18"/>
  <c r="AX103" i="18"/>
  <c r="AY103" i="18"/>
  <c r="AZ103" i="18"/>
  <c r="BA103" i="18"/>
  <c r="BB103" i="18"/>
  <c r="BC103" i="18"/>
  <c r="AD105" i="18"/>
  <c r="AD104" i="18"/>
  <c r="AD103" i="18"/>
  <c r="BB76" i="18"/>
  <c r="BC76" i="18"/>
  <c r="CP127" i="23"/>
  <c r="CQ127" i="23"/>
  <c r="BK26" i="23"/>
  <c r="AH26" i="22"/>
  <c r="BO47" i="21"/>
  <c r="BO46" i="21"/>
  <c r="BO45" i="21"/>
  <c r="BO44" i="21"/>
  <c r="BO43" i="21"/>
  <c r="BO42" i="21"/>
  <c r="BO41" i="21"/>
  <c r="BO26" i="21"/>
  <c r="D171" i="23"/>
  <c r="D168" i="23"/>
  <c r="D167" i="23"/>
  <c r="D166" i="23"/>
  <c r="D165" i="23"/>
  <c r="D161" i="23"/>
  <c r="D158" i="23"/>
  <c r="D157" i="23"/>
  <c r="D156" i="23"/>
  <c r="D155" i="23"/>
  <c r="D121" i="23"/>
  <c r="D118" i="23"/>
  <c r="D117" i="23"/>
  <c r="D116" i="23"/>
  <c r="D115" i="23"/>
  <c r="D111" i="23"/>
  <c r="D108" i="23"/>
  <c r="D107" i="23"/>
  <c r="D106" i="23"/>
  <c r="D105" i="23"/>
  <c r="D70" i="23"/>
  <c r="D67" i="23"/>
  <c r="D66" i="23"/>
  <c r="D65" i="23"/>
  <c r="D64" i="23"/>
  <c r="D60" i="23"/>
  <c r="D57" i="23"/>
  <c r="D56" i="23"/>
  <c r="D55" i="23"/>
  <c r="D54" i="23"/>
  <c r="D20" i="23"/>
  <c r="D17" i="23"/>
  <c r="D16" i="23"/>
  <c r="D15" i="23"/>
  <c r="D14" i="23"/>
  <c r="D10" i="23"/>
  <c r="D7" i="23"/>
  <c r="D6" i="23"/>
  <c r="D5" i="23"/>
  <c r="D4" i="23"/>
  <c r="D20" i="22"/>
  <c r="D17" i="22"/>
  <c r="D19" i="22" s="1"/>
  <c r="D16" i="22"/>
  <c r="D15" i="22"/>
  <c r="D14" i="22"/>
  <c r="D10" i="22"/>
  <c r="D7" i="22"/>
  <c r="D6" i="22"/>
  <c r="D5" i="22"/>
  <c r="D4" i="22"/>
  <c r="D20" i="21"/>
  <c r="D17" i="21"/>
  <c r="D16" i="21"/>
  <c r="D15" i="21"/>
  <c r="D14" i="21"/>
  <c r="D10" i="21"/>
  <c r="D7" i="21"/>
  <c r="D6" i="21"/>
  <c r="D5" i="21"/>
  <c r="D4" i="21"/>
  <c r="D20" i="20"/>
  <c r="D17" i="20"/>
  <c r="D16" i="20"/>
  <c r="D15" i="20"/>
  <c r="D14" i="20"/>
  <c r="D10" i="20"/>
  <c r="D7" i="20"/>
  <c r="D6" i="20"/>
  <c r="D5" i="20"/>
  <c r="D4" i="20"/>
  <c r="D79" i="19"/>
  <c r="D78" i="19"/>
  <c r="D77" i="19"/>
  <c r="D75" i="19"/>
  <c r="D74" i="19"/>
  <c r="D73" i="19"/>
  <c r="D72" i="19"/>
  <c r="D68" i="19"/>
  <c r="D65" i="19"/>
  <c r="D64" i="19"/>
  <c r="D63" i="19"/>
  <c r="D62" i="19"/>
  <c r="D21" i="19"/>
  <c r="D20" i="19"/>
  <c r="D19" i="19"/>
  <c r="D17" i="19"/>
  <c r="D16" i="19"/>
  <c r="D15" i="19"/>
  <c r="D14" i="19"/>
  <c r="D10" i="19"/>
  <c r="D7" i="19"/>
  <c r="D6" i="19"/>
  <c r="D5" i="19"/>
  <c r="D4" i="19"/>
  <c r="D128" i="18"/>
  <c r="D125" i="18"/>
  <c r="D124" i="18"/>
  <c r="D123" i="18"/>
  <c r="D122" i="18"/>
  <c r="D118" i="18"/>
  <c r="D115" i="18"/>
  <c r="D114" i="18"/>
  <c r="D113" i="18"/>
  <c r="D112" i="18"/>
  <c r="D69" i="18"/>
  <c r="D70" i="18"/>
  <c r="AC102" i="18" s="1"/>
  <c r="D66" i="18"/>
  <c r="D65" i="18"/>
  <c r="D64" i="18"/>
  <c r="D63" i="18"/>
  <c r="D59" i="18"/>
  <c r="D56" i="18"/>
  <c r="D55" i="18"/>
  <c r="D54" i="18"/>
  <c r="D53" i="18"/>
  <c r="D20" i="18"/>
  <c r="D17" i="18"/>
  <c r="D16" i="18"/>
  <c r="D15" i="18"/>
  <c r="D14" i="18"/>
  <c r="D10" i="18"/>
  <c r="D7" i="18"/>
  <c r="D6" i="18"/>
  <c r="D5" i="18"/>
  <c r="D4" i="18"/>
  <c r="E20" i="30" l="1"/>
  <c r="L53" i="30"/>
  <c r="L20" i="30"/>
  <c r="H20" i="30"/>
  <c r="AR101" i="18"/>
  <c r="AV100" i="18"/>
  <c r="F31" i="18"/>
  <c r="AS99" i="18"/>
  <c r="AG101" i="18"/>
  <c r="AL100" i="18"/>
  <c r="AI99" i="18"/>
  <c r="D58" i="18"/>
  <c r="F80" i="18" s="1"/>
  <c r="D19" i="18"/>
  <c r="P41" i="18" s="1"/>
  <c r="D9" i="18"/>
  <c r="F32" i="18" s="1"/>
  <c r="D68" i="18"/>
  <c r="AQ100" i="18" s="1"/>
  <c r="B46" i="24"/>
  <c r="B39" i="24"/>
  <c r="B31" i="24"/>
  <c r="F50" i="24" s="1"/>
  <c r="B29" i="24"/>
  <c r="AL99" i="18" l="1"/>
  <c r="AW100" i="18"/>
  <c r="AH100" i="18"/>
  <c r="AS101" i="18"/>
  <c r="F81" i="18"/>
  <c r="AO99" i="18"/>
  <c r="BA99" i="18"/>
  <c r="AW99" i="18"/>
  <c r="AD100" i="18"/>
  <c r="AD102" i="18" s="1"/>
  <c r="AE100" i="18"/>
  <c r="AH101" i="18"/>
  <c r="AT99" i="18"/>
  <c r="AE99" i="18"/>
  <c r="AP100" i="18"/>
  <c r="BA101" i="18"/>
  <c r="AE101" i="18"/>
  <c r="AG100" i="18"/>
  <c r="AO101" i="18"/>
  <c r="AO100" i="18"/>
  <c r="AM101" i="18"/>
  <c r="AJ99" i="18"/>
  <c r="BC101" i="18"/>
  <c r="AF101" i="18"/>
  <c r="AR99" i="18"/>
  <c r="AM100" i="18"/>
  <c r="AP101" i="18"/>
  <c r="BB99" i="18"/>
  <c r="AM99" i="18"/>
  <c r="AX100" i="18"/>
  <c r="AI100" i="18"/>
  <c r="F30" i="18"/>
  <c r="AT100" i="18"/>
  <c r="AK101" i="18"/>
  <c r="AW101" i="18"/>
  <c r="AK100" i="18"/>
  <c r="AN101" i="18"/>
  <c r="AZ99" i="18"/>
  <c r="AU100" i="18"/>
  <c r="AX101" i="18"/>
  <c r="AI101" i="18"/>
  <c r="AU99" i="18"/>
  <c r="AF99" i="18"/>
  <c r="F91" i="18"/>
  <c r="BB100" i="18"/>
  <c r="AH99" i="18"/>
  <c r="AP99" i="18"/>
  <c r="AZ100" i="18"/>
  <c r="AR100" i="18"/>
  <c r="AJ100" i="18"/>
  <c r="AX99" i="18"/>
  <c r="AT101" i="18"/>
  <c r="AD101" i="18"/>
  <c r="BB101" i="18"/>
  <c r="AL101" i="18"/>
  <c r="AS100" i="18"/>
  <c r="AV101" i="18"/>
  <c r="AD99" i="18"/>
  <c r="BC100" i="18"/>
  <c r="AF100" i="18"/>
  <c r="AQ101" i="18"/>
  <c r="BC99" i="18"/>
  <c r="AN99" i="18"/>
  <c r="AY100" i="18"/>
  <c r="F82" i="18"/>
  <c r="AQ99" i="18"/>
  <c r="AZ101" i="18"/>
  <c r="AY99" i="18"/>
  <c r="AU101" i="18"/>
  <c r="BA100" i="18"/>
  <c r="AK99" i="18"/>
  <c r="AN100" i="18"/>
  <c r="AY101" i="18"/>
  <c r="AJ101" i="18"/>
  <c r="AV99" i="18"/>
  <c r="AG99" i="18"/>
  <c r="P42" i="18"/>
  <c r="P43" i="18"/>
  <c r="E34" i="24"/>
  <c r="B34" i="24"/>
  <c r="D41" i="24"/>
  <c r="E29" i="24"/>
  <c r="E41" i="24"/>
  <c r="B44" i="24"/>
  <c r="G50" i="24"/>
  <c r="F51" i="24"/>
  <c r="E35" i="24"/>
  <c r="F29" i="14"/>
  <c r="G19" i="14"/>
  <c r="F19" i="14"/>
  <c r="G19" i="13"/>
  <c r="F19" i="13"/>
  <c r="G19" i="12"/>
  <c r="F19" i="12"/>
  <c r="F19" i="11"/>
  <c r="G19" i="10"/>
  <c r="F19" i="10"/>
  <c r="G19" i="9"/>
  <c r="F19" i="9"/>
  <c r="G19" i="8"/>
  <c r="F19" i="8"/>
  <c r="G19" i="7"/>
  <c r="F19" i="7"/>
  <c r="G19" i="1"/>
  <c r="F19" i="1"/>
  <c r="D24" i="14"/>
  <c r="D25" i="13"/>
  <c r="D25" i="12"/>
  <c r="D25" i="11"/>
  <c r="D25" i="10"/>
  <c r="D25" i="9"/>
  <c r="D25" i="8"/>
  <c r="D25" i="7"/>
  <c r="D25" i="1"/>
  <c r="D24" i="16"/>
  <c r="D24" i="15"/>
  <c r="D20" i="16"/>
  <c r="D19" i="16"/>
  <c r="D20" i="15"/>
  <c r="D19" i="15"/>
  <c r="D20" i="2"/>
  <c r="D19" i="2"/>
  <c r="G51" i="24" l="1"/>
  <c r="H50" i="24"/>
  <c r="I50" i="24" l="1"/>
  <c r="I51" i="24" s="1"/>
  <c r="H51" i="24"/>
  <c r="J45" i="3"/>
  <c r="I45" i="3"/>
  <c r="J44" i="3"/>
  <c r="I44" i="3"/>
  <c r="J43" i="3"/>
  <c r="I43" i="3"/>
  <c r="J38" i="3"/>
  <c r="I38" i="3"/>
  <c r="J36" i="3"/>
  <c r="I36" i="3"/>
  <c r="J35" i="3"/>
  <c r="I35" i="3"/>
  <c r="J34" i="3"/>
  <c r="I34" i="3"/>
  <c r="K36" i="3" l="1"/>
  <c r="K38" i="3"/>
  <c r="K35" i="3"/>
  <c r="K43" i="3"/>
  <c r="K44" i="3"/>
  <c r="K45" i="3"/>
  <c r="J42" i="3"/>
  <c r="I42" i="3"/>
  <c r="J41" i="3"/>
  <c r="I41" i="3"/>
  <c r="J40" i="3"/>
  <c r="I40" i="3"/>
  <c r="J39" i="3"/>
  <c r="I39" i="3"/>
  <c r="J37" i="3"/>
  <c r="I37" i="3"/>
  <c r="K37" i="3" l="1"/>
  <c r="K40" i="3"/>
  <c r="K42" i="3"/>
  <c r="K41" i="3"/>
  <c r="K39" i="3"/>
  <c r="B25" i="3"/>
  <c r="B26" i="3"/>
  <c r="B27" i="3"/>
  <c r="T183" i="23"/>
  <c r="BC195" i="23"/>
  <c r="E184" i="23"/>
  <c r="CC177" i="23"/>
  <c r="CB177" i="23"/>
  <c r="CA177" i="23"/>
  <c r="BZ177" i="23"/>
  <c r="BY177" i="23"/>
  <c r="BX177" i="23"/>
  <c r="BW177" i="23"/>
  <c r="BV177" i="23"/>
  <c r="BU177" i="23"/>
  <c r="BT177" i="23"/>
  <c r="BS177" i="23"/>
  <c r="BR177" i="23"/>
  <c r="BQ177" i="23"/>
  <c r="BP177" i="23"/>
  <c r="BO177" i="23"/>
  <c r="BN177" i="23"/>
  <c r="BM177" i="23"/>
  <c r="BL177" i="23"/>
  <c r="BK177" i="23"/>
  <c r="BJ177" i="23"/>
  <c r="BI177" i="23"/>
  <c r="BH177" i="23"/>
  <c r="BG177" i="23"/>
  <c r="BF177" i="23"/>
  <c r="BE177" i="23"/>
  <c r="BD177" i="23"/>
  <c r="BC177" i="23"/>
  <c r="BB177" i="23"/>
  <c r="BA177" i="23"/>
  <c r="AZ177" i="23"/>
  <c r="AY177" i="23"/>
  <c r="AX177" i="23"/>
  <c r="AW177" i="23"/>
  <c r="AV177" i="23"/>
  <c r="AU177" i="23"/>
  <c r="AT177" i="23"/>
  <c r="AS177" i="23"/>
  <c r="AR177" i="23"/>
  <c r="AQ177" i="23"/>
  <c r="AP177" i="23"/>
  <c r="AO177" i="23"/>
  <c r="AN177" i="23"/>
  <c r="AM177" i="23"/>
  <c r="AL177" i="23"/>
  <c r="AK177" i="23"/>
  <c r="AJ177" i="23"/>
  <c r="AI177" i="23"/>
  <c r="AH177" i="23"/>
  <c r="AG177" i="23"/>
  <c r="AF177" i="23"/>
  <c r="AE177" i="23"/>
  <c r="AD177" i="23"/>
  <c r="AC177" i="23"/>
  <c r="AB177" i="23"/>
  <c r="AA177" i="23"/>
  <c r="Z177" i="23"/>
  <c r="Y177" i="23"/>
  <c r="X177" i="23"/>
  <c r="W177" i="23"/>
  <c r="V177" i="23"/>
  <c r="U177" i="23"/>
  <c r="T177" i="23"/>
  <c r="S177" i="23"/>
  <c r="R177" i="23"/>
  <c r="Q177" i="23"/>
  <c r="P177" i="23"/>
  <c r="O177" i="23"/>
  <c r="N177" i="23"/>
  <c r="M177" i="23"/>
  <c r="L177" i="23"/>
  <c r="K177" i="23"/>
  <c r="J177" i="23"/>
  <c r="I177" i="23"/>
  <c r="H177" i="23"/>
  <c r="G177" i="23"/>
  <c r="F177" i="23"/>
  <c r="D170" i="23"/>
  <c r="BL194" i="23" s="1"/>
  <c r="G161" i="23"/>
  <c r="G160" i="23"/>
  <c r="D160" i="23"/>
  <c r="G183" i="23" s="1"/>
  <c r="G155" i="23"/>
  <c r="CC144" i="23"/>
  <c r="BL127" i="23"/>
  <c r="BM127" i="23"/>
  <c r="BN127" i="23"/>
  <c r="BO127" i="23"/>
  <c r="BP127" i="23"/>
  <c r="BQ127" i="23"/>
  <c r="BR127" i="23"/>
  <c r="BS127" i="23"/>
  <c r="BT127" i="23"/>
  <c r="BU127" i="23"/>
  <c r="BV127" i="23"/>
  <c r="BW127" i="23"/>
  <c r="BX127" i="23"/>
  <c r="BY127" i="23"/>
  <c r="BZ127" i="23"/>
  <c r="CA127" i="23"/>
  <c r="CB127" i="23"/>
  <c r="CC127" i="23"/>
  <c r="CD127" i="23"/>
  <c r="CE127" i="23"/>
  <c r="CF127" i="23"/>
  <c r="CG127" i="23"/>
  <c r="CH127" i="23"/>
  <c r="CI127" i="23"/>
  <c r="CJ127" i="23"/>
  <c r="CK127" i="23"/>
  <c r="CL127" i="23"/>
  <c r="CM127" i="23"/>
  <c r="CN127" i="23"/>
  <c r="CO127" i="23"/>
  <c r="BQ145" i="23"/>
  <c r="E134" i="23"/>
  <c r="BK127" i="23"/>
  <c r="BJ127" i="23"/>
  <c r="BI127" i="23"/>
  <c r="BH127" i="23"/>
  <c r="BG127" i="23"/>
  <c r="BF127" i="23"/>
  <c r="BE127" i="23"/>
  <c r="BD127" i="23"/>
  <c r="BC127" i="23"/>
  <c r="BB127" i="23"/>
  <c r="BA127" i="23"/>
  <c r="AZ127" i="23"/>
  <c r="AY127" i="23"/>
  <c r="AX127" i="23"/>
  <c r="AW127" i="23"/>
  <c r="AV127" i="23"/>
  <c r="AU127" i="23"/>
  <c r="AT127" i="23"/>
  <c r="AS127" i="23"/>
  <c r="AR127" i="23"/>
  <c r="AQ127" i="23"/>
  <c r="AP127" i="23"/>
  <c r="AO127" i="23"/>
  <c r="AN127" i="23"/>
  <c r="AM127" i="23"/>
  <c r="AL127" i="23"/>
  <c r="AK127" i="23"/>
  <c r="AJ127" i="23"/>
  <c r="AI127" i="23"/>
  <c r="AH127" i="23"/>
  <c r="AG127" i="23"/>
  <c r="AF127" i="23"/>
  <c r="AE127" i="23"/>
  <c r="AD127" i="23"/>
  <c r="AC127" i="23"/>
  <c r="AB127" i="23"/>
  <c r="AA127" i="23"/>
  <c r="Z127" i="23"/>
  <c r="Y127" i="23"/>
  <c r="X127" i="23"/>
  <c r="W127" i="23"/>
  <c r="V127" i="23"/>
  <c r="U127" i="23"/>
  <c r="T127" i="23"/>
  <c r="S127" i="23"/>
  <c r="R127" i="23"/>
  <c r="Q127" i="23"/>
  <c r="P127" i="23"/>
  <c r="O127" i="23"/>
  <c r="N127" i="23"/>
  <c r="M127" i="23"/>
  <c r="L127" i="23"/>
  <c r="K127" i="23"/>
  <c r="J127" i="23"/>
  <c r="I127" i="23"/>
  <c r="H127" i="23"/>
  <c r="G127" i="23"/>
  <c r="F127" i="23"/>
  <c r="D120" i="23"/>
  <c r="BW144" i="23" s="1"/>
  <c r="G111" i="23"/>
  <c r="G110" i="23"/>
  <c r="D110" i="23"/>
  <c r="AS131" i="23" s="1"/>
  <c r="AS135" i="23" s="1"/>
  <c r="G105" i="23"/>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19" i="20"/>
  <c r="BZ43" i="20" s="1"/>
  <c r="G100" i="19"/>
  <c r="F100" i="19"/>
  <c r="G42" i="19"/>
  <c r="F42" i="19"/>
  <c r="I31" i="5"/>
  <c r="I30" i="5"/>
  <c r="CP142" i="23" l="1"/>
  <c r="CL143" i="23"/>
  <c r="CL144" i="23"/>
  <c r="CC142" i="23"/>
  <c r="CQ143" i="23"/>
  <c r="CP143" i="23"/>
  <c r="BZ143" i="23"/>
  <c r="CD144" i="23"/>
  <c r="CO142" i="23"/>
  <c r="CD143" i="23"/>
  <c r="BY144" i="23"/>
  <c r="AB181" i="23"/>
  <c r="CK142" i="23"/>
  <c r="CB143" i="23"/>
  <c r="L181" i="23"/>
  <c r="L185" i="23" s="1"/>
  <c r="AF182" i="23"/>
  <c r="AF186" i="23" s="1"/>
  <c r="CB142" i="23"/>
  <c r="BR144" i="23"/>
  <c r="P182" i="23"/>
  <c r="P186" i="23" s="1"/>
  <c r="BY142" i="23"/>
  <c r="CO144" i="23"/>
  <c r="AJ183" i="23"/>
  <c r="AJ187" i="23" s="1"/>
  <c r="BO192" i="23"/>
  <c r="BQ193" i="23"/>
  <c r="BI193" i="23"/>
  <c r="BK194" i="23"/>
  <c r="BD192" i="23"/>
  <c r="BN192" i="23"/>
  <c r="BX193" i="23"/>
  <c r="BH193" i="23"/>
  <c r="BR194" i="23"/>
  <c r="CC192" i="23"/>
  <c r="BM192" i="23"/>
  <c r="BW193" i="23"/>
  <c r="BO193" i="23"/>
  <c r="BY194" i="23"/>
  <c r="BQ194" i="23"/>
  <c r="CB192" i="23"/>
  <c r="BT192" i="23"/>
  <c r="BL192" i="23"/>
  <c r="BD193" i="23"/>
  <c r="BV193" i="23"/>
  <c r="BN193" i="23"/>
  <c r="BF193" i="23"/>
  <c r="BX194" i="23"/>
  <c r="BP194" i="23"/>
  <c r="BH194" i="23"/>
  <c r="BG192" i="23"/>
  <c r="BS194" i="23"/>
  <c r="BV192" i="23"/>
  <c r="BF192" i="23"/>
  <c r="BP193" i="23"/>
  <c r="BZ194" i="23"/>
  <c r="BJ194" i="23"/>
  <c r="BU192" i="23"/>
  <c r="BE192" i="23"/>
  <c r="BG193" i="23"/>
  <c r="BI194" i="23"/>
  <c r="CA192" i="23"/>
  <c r="BS192" i="23"/>
  <c r="BK192" i="23"/>
  <c r="CC193" i="23"/>
  <c r="BU193" i="23"/>
  <c r="BM193" i="23"/>
  <c r="BE193" i="23"/>
  <c r="BW194" i="23"/>
  <c r="BO194" i="23"/>
  <c r="BG194" i="23"/>
  <c r="BW192" i="23"/>
  <c r="BY193" i="23"/>
  <c r="CA194" i="23"/>
  <c r="BZ192" i="23"/>
  <c r="BR192" i="23"/>
  <c r="BJ192" i="23"/>
  <c r="CB193" i="23"/>
  <c r="BT193" i="23"/>
  <c r="BL193" i="23"/>
  <c r="BD194" i="23"/>
  <c r="BV194" i="23"/>
  <c r="BN194" i="23"/>
  <c r="BF194" i="23"/>
  <c r="BY192" i="23"/>
  <c r="BQ192" i="23"/>
  <c r="BI192" i="23"/>
  <c r="CA193" i="23"/>
  <c r="BS193" i="23"/>
  <c r="BK193" i="23"/>
  <c r="CC194" i="23"/>
  <c r="BU194" i="23"/>
  <c r="BM194" i="23"/>
  <c r="BE194" i="23"/>
  <c r="BX192" i="23"/>
  <c r="BP192" i="23"/>
  <c r="BH192" i="23"/>
  <c r="BZ193" i="23"/>
  <c r="BR193" i="23"/>
  <c r="BJ193" i="23"/>
  <c r="CB194" i="23"/>
  <c r="BT194" i="23"/>
  <c r="AO181" i="23"/>
  <c r="AO185" i="23" s="1"/>
  <c r="Y181" i="23"/>
  <c r="Y185" i="23" s="1"/>
  <c r="I181" i="23"/>
  <c r="AC182" i="23"/>
  <c r="AC186" i="23" s="1"/>
  <c r="M182" i="23"/>
  <c r="M186" i="23" s="1"/>
  <c r="AG183" i="23"/>
  <c r="AG187" i="23" s="1"/>
  <c r="Q183" i="23"/>
  <c r="Q187" i="23" s="1"/>
  <c r="AL181" i="23"/>
  <c r="AL185" i="23" s="1"/>
  <c r="V181" i="23"/>
  <c r="F184" i="23"/>
  <c r="Z182" i="23"/>
  <c r="J182" i="23"/>
  <c r="J186" i="23" s="1"/>
  <c r="AD183" i="23"/>
  <c r="AD187" i="23" s="1"/>
  <c r="N183" i="23"/>
  <c r="N187" i="23" s="1"/>
  <c r="AK181" i="23"/>
  <c r="AK185" i="23" s="1"/>
  <c r="U181" i="23"/>
  <c r="U185" i="23" s="1"/>
  <c r="AO182" i="23"/>
  <c r="Y182" i="23"/>
  <c r="Y186" i="23" s="1"/>
  <c r="I182" i="23"/>
  <c r="AC183" i="23"/>
  <c r="AC187" i="23" s="1"/>
  <c r="M183" i="23"/>
  <c r="M187" i="23" s="1"/>
  <c r="AJ181" i="23"/>
  <c r="AJ185" i="23" s="1"/>
  <c r="T181" i="23"/>
  <c r="T185" i="23" s="1"/>
  <c r="AN182" i="23"/>
  <c r="AN186" i="23" s="1"/>
  <c r="X182" i="23"/>
  <c r="X186" i="23" s="1"/>
  <c r="H182" i="23"/>
  <c r="H186" i="23" s="1"/>
  <c r="AB183" i="23"/>
  <c r="AB187" i="23" s="1"/>
  <c r="L183" i="23"/>
  <c r="L187" i="23" s="1"/>
  <c r="AG181" i="23"/>
  <c r="AG185" i="23" s="1"/>
  <c r="Q181" i="23"/>
  <c r="Q185" i="23" s="1"/>
  <c r="AK182" i="23"/>
  <c r="AK186" i="23" s="1"/>
  <c r="U182" i="23"/>
  <c r="U186" i="23" s="1"/>
  <c r="AO183" i="23"/>
  <c r="Y183" i="23"/>
  <c r="Y187" i="23" s="1"/>
  <c r="I183" i="23"/>
  <c r="I187" i="23" s="1"/>
  <c r="AD181" i="23"/>
  <c r="AD185" i="23" s="1"/>
  <c r="N181" i="23"/>
  <c r="N185" i="23" s="1"/>
  <c r="AH182" i="23"/>
  <c r="AH186" i="23" s="1"/>
  <c r="R182" i="23"/>
  <c r="R186" i="23" s="1"/>
  <c r="AL183" i="23"/>
  <c r="AL187" i="23" s="1"/>
  <c r="V183" i="23"/>
  <c r="AC181" i="23"/>
  <c r="AC185" i="23" s="1"/>
  <c r="M181" i="23"/>
  <c r="M185" i="23" s="1"/>
  <c r="AG182" i="23"/>
  <c r="AG186" i="23" s="1"/>
  <c r="Q182" i="23"/>
  <c r="Q186" i="23" s="1"/>
  <c r="AK183" i="23"/>
  <c r="AK187" i="23" s="1"/>
  <c r="U183" i="23"/>
  <c r="U187" i="23" s="1"/>
  <c r="AI181" i="23"/>
  <c r="AI185" i="23" s="1"/>
  <c r="AA181" i="23"/>
  <c r="S181" i="23"/>
  <c r="S185" i="23" s="1"/>
  <c r="K181" i="23"/>
  <c r="K185" i="23" s="1"/>
  <c r="AM182" i="23"/>
  <c r="AM186" i="23" s="1"/>
  <c r="AE182" i="23"/>
  <c r="AE186" i="23" s="1"/>
  <c r="W182" i="23"/>
  <c r="W186" i="23" s="1"/>
  <c r="O182" i="23"/>
  <c r="O186" i="23" s="1"/>
  <c r="G182" i="23"/>
  <c r="AI183" i="23"/>
  <c r="AI187" i="23" s="1"/>
  <c r="AA183" i="23"/>
  <c r="AA187" i="23" s="1"/>
  <c r="S183" i="23"/>
  <c r="K183" i="23"/>
  <c r="K187" i="23" s="1"/>
  <c r="F185" i="23"/>
  <c r="AH181" i="23"/>
  <c r="Z181" i="23"/>
  <c r="Z185" i="23" s="1"/>
  <c r="R181" i="23"/>
  <c r="R185" i="23" s="1"/>
  <c r="J181" i="23"/>
  <c r="AL182" i="23"/>
  <c r="AL186" i="23" s="1"/>
  <c r="AD182" i="23"/>
  <c r="V182" i="23"/>
  <c r="V186" i="23" s="1"/>
  <c r="N182" i="23"/>
  <c r="N186" i="23" s="1"/>
  <c r="F187" i="23"/>
  <c r="AH183" i="23"/>
  <c r="AH187" i="23" s="1"/>
  <c r="Z183" i="23"/>
  <c r="Z187" i="23" s="1"/>
  <c r="R183" i="23"/>
  <c r="R187" i="23" s="1"/>
  <c r="J183" i="23"/>
  <c r="J187" i="23" s="1"/>
  <c r="AN181" i="23"/>
  <c r="AN185" i="23" s="1"/>
  <c r="AF181" i="23"/>
  <c r="AF185" i="23" s="1"/>
  <c r="X181" i="23"/>
  <c r="X185" i="23" s="1"/>
  <c r="P181" i="23"/>
  <c r="P185" i="23" s="1"/>
  <c r="H181" i="23"/>
  <c r="H185" i="23" s="1"/>
  <c r="AJ182" i="23"/>
  <c r="AJ186" i="23" s="1"/>
  <c r="AB182" i="23"/>
  <c r="AB186" i="23" s="1"/>
  <c r="T182" i="23"/>
  <c r="T186" i="23" s="1"/>
  <c r="L182" i="23"/>
  <c r="L186" i="23" s="1"/>
  <c r="AN183" i="23"/>
  <c r="AN187" i="23" s="1"/>
  <c r="AF183" i="23"/>
  <c r="AF187" i="23" s="1"/>
  <c r="X183" i="23"/>
  <c r="X187" i="23" s="1"/>
  <c r="P183" i="23"/>
  <c r="P187" i="23" s="1"/>
  <c r="H183" i="23"/>
  <c r="H187" i="23" s="1"/>
  <c r="AM181" i="23"/>
  <c r="AM185" i="23" s="1"/>
  <c r="AE181" i="23"/>
  <c r="AE185" i="23" s="1"/>
  <c r="W181" i="23"/>
  <c r="O181" i="23"/>
  <c r="O185" i="23" s="1"/>
  <c r="G181" i="23"/>
  <c r="G185" i="23" s="1"/>
  <c r="AI182" i="23"/>
  <c r="AI186" i="23" s="1"/>
  <c r="AA182" i="23"/>
  <c r="AA186" i="23" s="1"/>
  <c r="S182" i="23"/>
  <c r="S186" i="23" s="1"/>
  <c r="K182" i="23"/>
  <c r="K186" i="23" s="1"/>
  <c r="AM183" i="23"/>
  <c r="AM187" i="23" s="1"/>
  <c r="AE183" i="23"/>
  <c r="AE187" i="23" s="1"/>
  <c r="W183" i="23"/>
  <c r="W187" i="23" s="1"/>
  <c r="O183" i="23"/>
  <c r="O187" i="23" s="1"/>
  <c r="CN142" i="23"/>
  <c r="BZ142" i="23"/>
  <c r="CM143" i="23"/>
  <c r="CA143" i="23"/>
  <c r="CN144" i="23"/>
  <c r="CB144" i="23"/>
  <c r="CJ142" i="23"/>
  <c r="BX142" i="23"/>
  <c r="CJ143" i="23"/>
  <c r="BW143" i="23"/>
  <c r="CK144" i="23"/>
  <c r="BX144" i="23"/>
  <c r="CH142" i="23"/>
  <c r="BU142" i="23"/>
  <c r="CI143" i="23"/>
  <c r="BV143" i="23"/>
  <c r="CJ144" i="23"/>
  <c r="BV144" i="23"/>
  <c r="CG142" i="23"/>
  <c r="BT142" i="23"/>
  <c r="CH143" i="23"/>
  <c r="BT143" i="23"/>
  <c r="CG144" i="23"/>
  <c r="BU144" i="23"/>
  <c r="BR142" i="23"/>
  <c r="CF142" i="23"/>
  <c r="BR143" i="23"/>
  <c r="BR145" i="23" s="1"/>
  <c r="CE143" i="23"/>
  <c r="BS143" i="23"/>
  <c r="CF144" i="23"/>
  <c r="BT144" i="23"/>
  <c r="CM142" i="23"/>
  <c r="CE142" i="23"/>
  <c r="BW142" i="23"/>
  <c r="CO143" i="23"/>
  <c r="CG143" i="23"/>
  <c r="BY143" i="23"/>
  <c r="CQ144" i="23"/>
  <c r="CI144" i="23"/>
  <c r="CA144" i="23"/>
  <c r="BS144" i="23"/>
  <c r="CL142" i="23"/>
  <c r="CD142" i="23"/>
  <c r="BV142" i="23"/>
  <c r="CN143" i="23"/>
  <c r="CF143" i="23"/>
  <c r="BX143" i="23"/>
  <c r="CP144" i="23"/>
  <c r="CH144" i="23"/>
  <c r="BZ144" i="23"/>
  <c r="CQ142" i="23"/>
  <c r="CI142" i="23"/>
  <c r="CA142" i="23"/>
  <c r="BS142" i="23"/>
  <c r="CK143" i="23"/>
  <c r="CC143" i="23"/>
  <c r="BU143" i="23"/>
  <c r="CM144" i="23"/>
  <c r="CE144" i="23"/>
  <c r="AE132" i="23"/>
  <c r="AE136" i="23" s="1"/>
  <c r="AE133" i="23"/>
  <c r="AE137" i="23" s="1"/>
  <c r="AP133" i="23"/>
  <c r="AP137" i="23" s="1"/>
  <c r="AG131" i="23"/>
  <c r="AG135" i="23" s="1"/>
  <c r="Q131" i="23"/>
  <c r="Q135" i="23" s="1"/>
  <c r="I131" i="23"/>
  <c r="I135" i="23" s="1"/>
  <c r="T132" i="23"/>
  <c r="T136" i="23" s="1"/>
  <c r="X132" i="23"/>
  <c r="X136" i="23" s="1"/>
  <c r="V133" i="23"/>
  <c r="V137" i="23" s="1"/>
  <c r="N133" i="23"/>
  <c r="N137" i="23" s="1"/>
  <c r="AK131" i="23"/>
  <c r="AK135" i="23" s="1"/>
  <c r="AO133" i="23"/>
  <c r="AO137" i="23" s="1"/>
  <c r="AF131" i="23"/>
  <c r="X131" i="23"/>
  <c r="X135" i="23" s="1"/>
  <c r="H131" i="23"/>
  <c r="H135" i="23" s="1"/>
  <c r="S132" i="23"/>
  <c r="S136" i="23" s="1"/>
  <c r="K132" i="23"/>
  <c r="AC133" i="23"/>
  <c r="AC137" i="23" s="1"/>
  <c r="U133" i="23"/>
  <c r="U137" i="23" s="1"/>
  <c r="M133" i="23"/>
  <c r="M137" i="23" s="1"/>
  <c r="AR131" i="23"/>
  <c r="AR135" i="23" s="1"/>
  <c r="AJ131" i="23"/>
  <c r="AJ135" i="23" s="1"/>
  <c r="AN133" i="23"/>
  <c r="AN137" i="23" s="1"/>
  <c r="AE131" i="23"/>
  <c r="AE135" i="23" s="1"/>
  <c r="W131" i="23"/>
  <c r="W135" i="23" s="1"/>
  <c r="O131" i="23"/>
  <c r="O135" i="23" s="1"/>
  <c r="G131" i="23"/>
  <c r="G135" i="23" s="1"/>
  <c r="AB132" i="23"/>
  <c r="AB136" i="23" s="1"/>
  <c r="R132" i="23"/>
  <c r="R136" i="23" s="1"/>
  <c r="J132" i="23"/>
  <c r="J136" i="23" s="1"/>
  <c r="F133" i="23"/>
  <c r="F137" i="23" s="1"/>
  <c r="AB133" i="23"/>
  <c r="AB137" i="23" s="1"/>
  <c r="T133" i="23"/>
  <c r="L133" i="23"/>
  <c r="L137" i="23" s="1"/>
  <c r="AQ131" i="23"/>
  <c r="AQ135" i="23" s="1"/>
  <c r="AS132" i="23"/>
  <c r="AS136" i="23" s="1"/>
  <c r="AK132" i="23"/>
  <c r="AK136" i="23" s="1"/>
  <c r="AM133" i="23"/>
  <c r="AM137" i="23" s="1"/>
  <c r="R131" i="23"/>
  <c r="R135" i="23" s="1"/>
  <c r="O133" i="23"/>
  <c r="O137" i="23" s="1"/>
  <c r="Y131" i="23"/>
  <c r="Y135" i="23" s="1"/>
  <c r="AD132" i="23"/>
  <c r="AD136" i="23" s="1"/>
  <c r="L132" i="23"/>
  <c r="L136" i="23" s="1"/>
  <c r="AD133" i="23"/>
  <c r="AD137" i="23" s="1"/>
  <c r="AM132" i="23"/>
  <c r="AM136" i="23" s="1"/>
  <c r="P131" i="23"/>
  <c r="P135" i="23" s="1"/>
  <c r="AC132" i="23"/>
  <c r="AC136" i="23" s="1"/>
  <c r="F132" i="23"/>
  <c r="F134" i="23" s="1"/>
  <c r="AL132" i="23"/>
  <c r="AL136" i="23" s="1"/>
  <c r="AD131" i="23"/>
  <c r="AD135" i="23" s="1"/>
  <c r="V131" i="23"/>
  <c r="V135" i="23" s="1"/>
  <c r="N131" i="23"/>
  <c r="N135" i="23" s="1"/>
  <c r="AI132" i="23"/>
  <c r="AI136" i="23" s="1"/>
  <c r="AA132" i="23"/>
  <c r="AA136" i="23" s="1"/>
  <c r="Q132" i="23"/>
  <c r="Q136" i="23" s="1"/>
  <c r="I132" i="23"/>
  <c r="I136" i="23" s="1"/>
  <c r="AI133" i="23"/>
  <c r="AI137" i="23" s="1"/>
  <c r="AA133" i="23"/>
  <c r="AA137" i="23" s="1"/>
  <c r="S133" i="23"/>
  <c r="S137" i="23" s="1"/>
  <c r="K133" i="23"/>
  <c r="K137" i="23" s="1"/>
  <c r="AP131" i="23"/>
  <c r="AP135" i="23" s="1"/>
  <c r="AR132" i="23"/>
  <c r="AR136" i="23" s="1"/>
  <c r="AJ132" i="23"/>
  <c r="AJ136" i="23" s="1"/>
  <c r="AL133" i="23"/>
  <c r="AL137" i="23" s="1"/>
  <c r="AH131" i="23"/>
  <c r="AH135" i="23" s="1"/>
  <c r="U132" i="23"/>
  <c r="U136" i="23" s="1"/>
  <c r="G133" i="23"/>
  <c r="G137" i="23" s="1"/>
  <c r="M131" i="23"/>
  <c r="M135" i="23" s="1"/>
  <c r="P132" i="23"/>
  <c r="P136" i="23" s="1"/>
  <c r="AK133" i="23"/>
  <c r="AK137" i="23" s="1"/>
  <c r="J131" i="23"/>
  <c r="J135" i="23" s="1"/>
  <c r="Y132" i="23"/>
  <c r="Y136" i="23" s="1"/>
  <c r="AN132" i="23"/>
  <c r="AN136" i="23" s="1"/>
  <c r="AC131" i="23"/>
  <c r="AC135" i="23" s="1"/>
  <c r="U131" i="23"/>
  <c r="U135" i="23" s="1"/>
  <c r="AH132" i="23"/>
  <c r="AH136" i="23" s="1"/>
  <c r="Z132" i="23"/>
  <c r="Z136" i="23" s="1"/>
  <c r="H132" i="23"/>
  <c r="H136" i="23" s="1"/>
  <c r="AH133" i="23"/>
  <c r="AH137" i="23" s="1"/>
  <c r="Z133" i="23"/>
  <c r="Z137" i="23" s="1"/>
  <c r="R133" i="23"/>
  <c r="R137" i="23" s="1"/>
  <c r="J133" i="23"/>
  <c r="J137" i="23" s="1"/>
  <c r="AO131" i="23"/>
  <c r="AO135" i="23" s="1"/>
  <c r="AQ132" i="23"/>
  <c r="AQ136" i="23" s="1"/>
  <c r="AS133" i="23"/>
  <c r="AS137" i="23" s="1"/>
  <c r="AF135" i="23"/>
  <c r="F131" i="23"/>
  <c r="F135" i="23" s="1"/>
  <c r="AB131" i="23"/>
  <c r="AB135" i="23" s="1"/>
  <c r="T131" i="23"/>
  <c r="T135" i="23" s="1"/>
  <c r="L131" i="23"/>
  <c r="L135" i="23" s="1"/>
  <c r="AG132" i="23"/>
  <c r="AG136" i="23" s="1"/>
  <c r="W132" i="23"/>
  <c r="W136" i="23" s="1"/>
  <c r="O132" i="23"/>
  <c r="O136" i="23" s="1"/>
  <c r="G132" i="23"/>
  <c r="AG133" i="23"/>
  <c r="AG137" i="23" s="1"/>
  <c r="Y133" i="23"/>
  <c r="Y137" i="23" s="1"/>
  <c r="Q133" i="23"/>
  <c r="Q137" i="23" s="1"/>
  <c r="I133" i="23"/>
  <c r="I137" i="23" s="1"/>
  <c r="AN131" i="23"/>
  <c r="AN135" i="23" s="1"/>
  <c r="AP132" i="23"/>
  <c r="AP136" i="23" s="1"/>
  <c r="AR133" i="23"/>
  <c r="AR137" i="23" s="1"/>
  <c r="AJ133" i="23"/>
  <c r="AJ137" i="23" s="1"/>
  <c r="AI131" i="23"/>
  <c r="AI135" i="23" s="1"/>
  <c r="AA131" i="23"/>
  <c r="AA135" i="23" s="1"/>
  <c r="S131" i="23"/>
  <c r="S135" i="23" s="1"/>
  <c r="K131" i="23"/>
  <c r="K135" i="23" s="1"/>
  <c r="AF132" i="23"/>
  <c r="AF136" i="23" s="1"/>
  <c r="V132" i="23"/>
  <c r="V136" i="23" s="1"/>
  <c r="N132" i="23"/>
  <c r="N136" i="23" s="1"/>
  <c r="AF133" i="23"/>
  <c r="AF137" i="23" s="1"/>
  <c r="X133" i="23"/>
  <c r="X137" i="23" s="1"/>
  <c r="P133" i="23"/>
  <c r="P137" i="23" s="1"/>
  <c r="H133" i="23"/>
  <c r="H137" i="23" s="1"/>
  <c r="AM131" i="23"/>
  <c r="AM135" i="23" s="1"/>
  <c r="AO132" i="23"/>
  <c r="AO136" i="23" s="1"/>
  <c r="AQ133" i="23"/>
  <c r="AQ137" i="23" s="1"/>
  <c r="W133" i="23"/>
  <c r="W137" i="23" s="1"/>
  <c r="Z131" i="23"/>
  <c r="Z135" i="23" s="1"/>
  <c r="M132" i="23"/>
  <c r="M136" i="23" s="1"/>
  <c r="AL131" i="23"/>
  <c r="AL135" i="23" s="1"/>
  <c r="K136" i="23"/>
  <c r="T137" i="23"/>
  <c r="CO42" i="20"/>
  <c r="CO46" i="20" s="1"/>
  <c r="CG42" i="20"/>
  <c r="CG46" i="20" s="1"/>
  <c r="BY42" i="20"/>
  <c r="BY46" i="20" s="1"/>
  <c r="CW41" i="20"/>
  <c r="CW45" i="20" s="1"/>
  <c r="CW43" i="20"/>
  <c r="CW47" i="20" s="1"/>
  <c r="CO41" i="20"/>
  <c r="CO45" i="20" s="1"/>
  <c r="CO43" i="20"/>
  <c r="CO47" i="20" s="1"/>
  <c r="CG41" i="20"/>
  <c r="CG45" i="20" s="1"/>
  <c r="BY41" i="20"/>
  <c r="BY45" i="20" s="1"/>
  <c r="BY43" i="20"/>
  <c r="BY47" i="20" s="1"/>
  <c r="CG43" i="20"/>
  <c r="CG47" i="20" s="1"/>
  <c r="CW42" i="20"/>
  <c r="CW46" i="20" s="1"/>
  <c r="CV41" i="20"/>
  <c r="CV45" i="20" s="1"/>
  <c r="CN41" i="20"/>
  <c r="CN45" i="20" s="1"/>
  <c r="CF41" i="20"/>
  <c r="CF45" i="20" s="1"/>
  <c r="BX41" i="20"/>
  <c r="BX45" i="20" s="1"/>
  <c r="CV42" i="20"/>
  <c r="CV46" i="20" s="1"/>
  <c r="CN42" i="20"/>
  <c r="CN46" i="20" s="1"/>
  <c r="CF42" i="20"/>
  <c r="CF46" i="20" s="1"/>
  <c r="BX42" i="20"/>
  <c r="BX46" i="20" s="1"/>
  <c r="CV43" i="20"/>
  <c r="CV47" i="20" s="1"/>
  <c r="CN43" i="20"/>
  <c r="CN47" i="20" s="1"/>
  <c r="CF43" i="20"/>
  <c r="CF47" i="20" s="1"/>
  <c r="BX43" i="20"/>
  <c r="BX47" i="20" s="1"/>
  <c r="DC41" i="20"/>
  <c r="CU41" i="20"/>
  <c r="CU45" i="20" s="1"/>
  <c r="CM41" i="20"/>
  <c r="CE41" i="20"/>
  <c r="DC42" i="20"/>
  <c r="DC46" i="20" s="1"/>
  <c r="CU42" i="20"/>
  <c r="CU46" i="20" s="1"/>
  <c r="CM42" i="20"/>
  <c r="CM46" i="20" s="1"/>
  <c r="CE42" i="20"/>
  <c r="CE46" i="20" s="1"/>
  <c r="DC43" i="20"/>
  <c r="CU43" i="20"/>
  <c r="CU47" i="20" s="1"/>
  <c r="CM43" i="20"/>
  <c r="CE43" i="20"/>
  <c r="CE47" i="20" s="1"/>
  <c r="CD47" i="20"/>
  <c r="DB41" i="20"/>
  <c r="CT41" i="20"/>
  <c r="CT45" i="20" s="1"/>
  <c r="CL41" i="20"/>
  <c r="CL45" i="20" s="1"/>
  <c r="CD41" i="20"/>
  <c r="DB42" i="20"/>
  <c r="CT42" i="20"/>
  <c r="CT46" i="20" s="1"/>
  <c r="CL42" i="20"/>
  <c r="CD42" i="20"/>
  <c r="CD46" i="20" s="1"/>
  <c r="DB43" i="20"/>
  <c r="DB47" i="20" s="1"/>
  <c r="CT43" i="20"/>
  <c r="CT47" i="20" s="1"/>
  <c r="CL43" i="20"/>
  <c r="CL47" i="20" s="1"/>
  <c r="CD43" i="20"/>
  <c r="CC47" i="20"/>
  <c r="DA41" i="20"/>
  <c r="CS41" i="20"/>
  <c r="CK41" i="20"/>
  <c r="CK45" i="20" s="1"/>
  <c r="CC41" i="20"/>
  <c r="DA42" i="20"/>
  <c r="DA46" i="20" s="1"/>
  <c r="CS42" i="20"/>
  <c r="CS46" i="20" s="1"/>
  <c r="CK42" i="20"/>
  <c r="CK46" i="20" s="1"/>
  <c r="CC42" i="20"/>
  <c r="CC46" i="20" s="1"/>
  <c r="DA43" i="20"/>
  <c r="DA47" i="20" s="1"/>
  <c r="CS43" i="20"/>
  <c r="CS47" i="20" s="1"/>
  <c r="CK43" i="20"/>
  <c r="CK47" i="20" s="1"/>
  <c r="CC43" i="20"/>
  <c r="CB45" i="20"/>
  <c r="CZ41" i="20"/>
  <c r="CZ45" i="20" s="1"/>
  <c r="CR41" i="20"/>
  <c r="CR45" i="20" s="1"/>
  <c r="CJ41" i="20"/>
  <c r="CJ45" i="20" s="1"/>
  <c r="CB41" i="20"/>
  <c r="CZ42" i="20"/>
  <c r="CR42" i="20"/>
  <c r="CR46" i="20" s="1"/>
  <c r="CJ42" i="20"/>
  <c r="CB42" i="20"/>
  <c r="CB46" i="20" s="1"/>
  <c r="CZ43" i="20"/>
  <c r="CZ47" i="20" s="1"/>
  <c r="CR43" i="20"/>
  <c r="CR47" i="20" s="1"/>
  <c r="CJ43" i="20"/>
  <c r="CJ47" i="20" s="1"/>
  <c r="CB43" i="20"/>
  <c r="CY41" i="20"/>
  <c r="CY45" i="20" s="1"/>
  <c r="CQ41" i="20"/>
  <c r="CQ45" i="20" s="1"/>
  <c r="CI41" i="20"/>
  <c r="CI45" i="20" s="1"/>
  <c r="CA41" i="20"/>
  <c r="CA45" i="20" s="1"/>
  <c r="CY42" i="20"/>
  <c r="CY46" i="20" s="1"/>
  <c r="CQ42" i="20"/>
  <c r="CQ46" i="20" s="1"/>
  <c r="CI42" i="20"/>
  <c r="CA42" i="20"/>
  <c r="CA46" i="20" s="1"/>
  <c r="CY43" i="20"/>
  <c r="CY47" i="20" s="1"/>
  <c r="CQ43" i="20"/>
  <c r="CQ47" i="20" s="1"/>
  <c r="CI43" i="20"/>
  <c r="CI47" i="20" s="1"/>
  <c r="CA43" i="20"/>
  <c r="CA47" i="20" s="1"/>
  <c r="CX41" i="20"/>
  <c r="CP41" i="20"/>
  <c r="CP45" i="20" s="1"/>
  <c r="CH41" i="20"/>
  <c r="BZ41" i="20"/>
  <c r="BZ45" i="20" s="1"/>
  <c r="CX42" i="20"/>
  <c r="CX46" i="20" s="1"/>
  <c r="CP42" i="20"/>
  <c r="CP46" i="20" s="1"/>
  <c r="CH42" i="20"/>
  <c r="CH46" i="20" s="1"/>
  <c r="BZ42" i="20"/>
  <c r="BZ46" i="20" s="1"/>
  <c r="CX43" i="20"/>
  <c r="CP43" i="20"/>
  <c r="CP47" i="20" s="1"/>
  <c r="CH43" i="20"/>
  <c r="CH47" i="20" s="1"/>
  <c r="CB47" i="20"/>
  <c r="CX45" i="20"/>
  <c r="CH45" i="20"/>
  <c r="DB46" i="20"/>
  <c r="CL46" i="20"/>
  <c r="CX47" i="20"/>
  <c r="BZ47" i="20"/>
  <c r="DC45" i="20"/>
  <c r="CE45" i="20"/>
  <c r="CZ46" i="20"/>
  <c r="DC47" i="20"/>
  <c r="DB45" i="20"/>
  <c r="CD45" i="20"/>
  <c r="CJ46" i="20"/>
  <c r="CM45" i="20"/>
  <c r="CI46" i="20"/>
  <c r="CM47" i="20"/>
  <c r="DA45" i="20"/>
  <c r="CS45" i="20"/>
  <c r="CC45" i="20"/>
  <c r="BD195" i="23"/>
  <c r="BE195" i="23" s="1"/>
  <c r="AB185" i="23"/>
  <c r="T187" i="23"/>
  <c r="AA185" i="23"/>
  <c r="S187" i="23"/>
  <c r="I185" i="23"/>
  <c r="I186" i="23"/>
  <c r="AO186" i="23"/>
  <c r="AO187" i="23"/>
  <c r="W185" i="23"/>
  <c r="J185" i="23"/>
  <c r="V185" i="23"/>
  <c r="AH185" i="23"/>
  <c r="Z186" i="23"/>
  <c r="AD186" i="23"/>
  <c r="V187" i="23"/>
  <c r="G187" i="23"/>
  <c r="BF195" i="23" l="1"/>
  <c r="BG195" i="23" s="1"/>
  <c r="BH195" i="23" s="1"/>
  <c r="BI195" i="23" s="1"/>
  <c r="BJ195" i="23" s="1"/>
  <c r="BK195" i="23" s="1"/>
  <c r="BL195" i="23" s="1"/>
  <c r="BM195" i="23" s="1"/>
  <c r="BN195" i="23" s="1"/>
  <c r="BO195" i="23" s="1"/>
  <c r="BP195" i="23" s="1"/>
  <c r="BQ195" i="23" s="1"/>
  <c r="BR195" i="23" s="1"/>
  <c r="BS195" i="23" s="1"/>
  <c r="BT195" i="23" s="1"/>
  <c r="BU195" i="23" s="1"/>
  <c r="BV195" i="23" s="1"/>
  <c r="BW195" i="23" s="1"/>
  <c r="BX195" i="23" s="1"/>
  <c r="BY195" i="23" s="1"/>
  <c r="BZ195" i="23" s="1"/>
  <c r="CA195" i="23" s="1"/>
  <c r="CB195" i="23" s="1"/>
  <c r="CC195" i="23" s="1"/>
  <c r="BS145" i="23"/>
  <c r="BT145" i="23" s="1"/>
  <c r="G162" i="23"/>
  <c r="D45" i="3" s="1"/>
  <c r="F186" i="23"/>
  <c r="G186" i="23"/>
  <c r="G156" i="23"/>
  <c r="C45" i="3" s="1"/>
  <c r="G184" i="23"/>
  <c r="H184" i="23" s="1"/>
  <c r="I184" i="23" s="1"/>
  <c r="J184" i="23" s="1"/>
  <c r="K184" i="23" s="1"/>
  <c r="L184" i="23" s="1"/>
  <c r="M184" i="23" s="1"/>
  <c r="N184" i="23" s="1"/>
  <c r="O184" i="23" s="1"/>
  <c r="P184" i="23" s="1"/>
  <c r="Q184" i="23" s="1"/>
  <c r="R184" i="23" s="1"/>
  <c r="S184" i="23" s="1"/>
  <c r="T184" i="23" s="1"/>
  <c r="U184" i="23" s="1"/>
  <c r="V184" i="23" s="1"/>
  <c r="W184" i="23" s="1"/>
  <c r="X184" i="23" s="1"/>
  <c r="Y184" i="23" s="1"/>
  <c r="Z184" i="23" s="1"/>
  <c r="AA184" i="23" s="1"/>
  <c r="AB184" i="23" s="1"/>
  <c r="AC184" i="23" s="1"/>
  <c r="AD184" i="23" s="1"/>
  <c r="AE184" i="23" s="1"/>
  <c r="AF184" i="23" s="1"/>
  <c r="AG184" i="23" s="1"/>
  <c r="AH184" i="23" s="1"/>
  <c r="AI184" i="23" s="1"/>
  <c r="AJ184" i="23" s="1"/>
  <c r="AK184" i="23" s="1"/>
  <c r="AL184" i="23" s="1"/>
  <c r="AM184" i="23" s="1"/>
  <c r="AN184" i="23" s="1"/>
  <c r="AO184" i="23" s="1"/>
  <c r="G112" i="23"/>
  <c r="D44" i="3" s="1"/>
  <c r="BU145" i="23"/>
  <c r="BV145" i="23" s="1"/>
  <c r="BW145" i="23" s="1"/>
  <c r="BX145" i="23" s="1"/>
  <c r="BY145" i="23" s="1"/>
  <c r="BZ145" i="23" s="1"/>
  <c r="CA145" i="23" s="1"/>
  <c r="CB145" i="23" s="1"/>
  <c r="CC145" i="23" s="1"/>
  <c r="CD145" i="23" s="1"/>
  <c r="CE145" i="23" s="1"/>
  <c r="CF145" i="23" s="1"/>
  <c r="CG145" i="23" s="1"/>
  <c r="CH145" i="23" s="1"/>
  <c r="CI145" i="23" s="1"/>
  <c r="CJ145" i="23" s="1"/>
  <c r="CK145" i="23" s="1"/>
  <c r="CL145" i="23" s="1"/>
  <c r="CM145" i="23" s="1"/>
  <c r="CN145" i="23" s="1"/>
  <c r="CO145" i="23" s="1"/>
  <c r="CP145" i="23" s="1"/>
  <c r="CQ145" i="23" s="1"/>
  <c r="G113" i="23"/>
  <c r="G44" i="3" s="1"/>
  <c r="G106" i="23"/>
  <c r="C44" i="3" s="1"/>
  <c r="F136" i="23"/>
  <c r="G136" i="23"/>
  <c r="G134" i="23"/>
  <c r="H134" i="23" s="1"/>
  <c r="I134" i="23" s="1"/>
  <c r="J134" i="23" s="1"/>
  <c r="K134" i="23" s="1"/>
  <c r="L134" i="23" s="1"/>
  <c r="M134" i="23" s="1"/>
  <c r="N134" i="23" s="1"/>
  <c r="O134" i="23" s="1"/>
  <c r="P134" i="23" s="1"/>
  <c r="Q134" i="23" s="1"/>
  <c r="R134" i="23" s="1"/>
  <c r="S134" i="23" s="1"/>
  <c r="T134" i="23" s="1"/>
  <c r="U134" i="23" s="1"/>
  <c r="V134" i="23" s="1"/>
  <c r="W134" i="23" s="1"/>
  <c r="X134" i="23" s="1"/>
  <c r="Y134" i="23" s="1"/>
  <c r="Z134" i="23" s="1"/>
  <c r="AA134" i="23" s="1"/>
  <c r="AB134" i="23" s="1"/>
  <c r="AC134" i="23" s="1"/>
  <c r="AD134" i="23" s="1"/>
  <c r="AE134" i="23" s="1"/>
  <c r="AF134" i="23" s="1"/>
  <c r="AG134" i="23" s="1"/>
  <c r="AH134" i="23" s="1"/>
  <c r="AI134" i="23" s="1"/>
  <c r="AJ134" i="23" s="1"/>
  <c r="AK134" i="23" s="1"/>
  <c r="AL134" i="23" s="1"/>
  <c r="AM134" i="23" s="1"/>
  <c r="AN134" i="23" s="1"/>
  <c r="AO134" i="23" s="1"/>
  <c r="AP134" i="23" s="1"/>
  <c r="AQ134" i="23" s="1"/>
  <c r="AR134" i="23" s="1"/>
  <c r="AS134" i="23" s="1"/>
  <c r="G157" i="23"/>
  <c r="G163" i="23"/>
  <c r="G45" i="3" s="1"/>
  <c r="G107" i="23"/>
  <c r="F44" i="3" s="1"/>
  <c r="E45" i="3" l="1"/>
  <c r="E44" i="3"/>
  <c r="F45" i="3"/>
  <c r="H45" i="3" s="1"/>
  <c r="H44" i="3"/>
  <c r="BK76" i="23"/>
  <c r="AK94" i="23"/>
  <c r="E83" i="23"/>
  <c r="BJ76" i="23"/>
  <c r="BI76" i="23"/>
  <c r="BH76" i="23"/>
  <c r="BG76" i="23"/>
  <c r="BF76" i="23"/>
  <c r="BE76" i="23"/>
  <c r="BD76" i="23"/>
  <c r="BC76" i="23"/>
  <c r="BB76" i="23"/>
  <c r="BA76" i="23"/>
  <c r="AZ76" i="23"/>
  <c r="AY76" i="23"/>
  <c r="AX76" i="23"/>
  <c r="AW76" i="23"/>
  <c r="AV76" i="23"/>
  <c r="AU76" i="23"/>
  <c r="AT76" i="23"/>
  <c r="AS76" i="23"/>
  <c r="AR76" i="23"/>
  <c r="AQ76" i="23"/>
  <c r="AP76" i="23"/>
  <c r="AO76" i="23"/>
  <c r="AN76" i="23"/>
  <c r="AM76" i="23"/>
  <c r="AL76" i="23"/>
  <c r="AK76" i="23"/>
  <c r="AJ76" i="23"/>
  <c r="AI76" i="23"/>
  <c r="AH76" i="23"/>
  <c r="AG76" i="23"/>
  <c r="AF76" i="23"/>
  <c r="AE76" i="23"/>
  <c r="AD76" i="23"/>
  <c r="AC76" i="23"/>
  <c r="AB76" i="23"/>
  <c r="AA76" i="23"/>
  <c r="Z76" i="23"/>
  <c r="Y76" i="23"/>
  <c r="X76" i="23"/>
  <c r="W76" i="23"/>
  <c r="V76" i="23"/>
  <c r="U76" i="23"/>
  <c r="T76" i="23"/>
  <c r="S76" i="23"/>
  <c r="R76" i="23"/>
  <c r="Q76" i="23"/>
  <c r="P76" i="23"/>
  <c r="O76" i="23"/>
  <c r="N76" i="23"/>
  <c r="M76" i="23"/>
  <c r="L76" i="23"/>
  <c r="K76" i="23"/>
  <c r="J76" i="23"/>
  <c r="I76" i="23"/>
  <c r="H76" i="23"/>
  <c r="G76" i="23"/>
  <c r="F76" i="23"/>
  <c r="D69" i="23"/>
  <c r="AT93" i="23" s="1"/>
  <c r="G60" i="23"/>
  <c r="G59" i="23"/>
  <c r="D59" i="23"/>
  <c r="G82" i="23" s="1"/>
  <c r="G54" i="23"/>
  <c r="AY26" i="23"/>
  <c r="AZ26" i="23"/>
  <c r="BA26" i="23"/>
  <c r="BB26" i="23"/>
  <c r="BC26" i="23"/>
  <c r="BD26" i="23"/>
  <c r="BE26" i="23"/>
  <c r="BF26" i="23"/>
  <c r="BG26" i="23"/>
  <c r="BH26" i="23"/>
  <c r="BI26" i="23"/>
  <c r="BJ26" i="23"/>
  <c r="AR26" i="23"/>
  <c r="AS26" i="23"/>
  <c r="AT26" i="23"/>
  <c r="AU26" i="23"/>
  <c r="AV26" i="23"/>
  <c r="AW26" i="23"/>
  <c r="AX26" i="23"/>
  <c r="D19" i="23"/>
  <c r="AT41" i="23" s="1"/>
  <c r="AK44" i="23"/>
  <c r="E33" i="23"/>
  <c r="AQ26" i="23"/>
  <c r="AP26" i="23"/>
  <c r="AO26" i="23"/>
  <c r="AN26" i="23"/>
  <c r="AM26" i="23"/>
  <c r="AL26" i="23"/>
  <c r="AK26" i="23"/>
  <c r="AJ26" i="23"/>
  <c r="AI26" i="23"/>
  <c r="AH26" i="23"/>
  <c r="AG26" i="23"/>
  <c r="AF26"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G10" i="23"/>
  <c r="G9" i="23"/>
  <c r="D9" i="23"/>
  <c r="J32" i="23" s="1"/>
  <c r="G4" i="23"/>
  <c r="N44" i="22"/>
  <c r="E33" i="22"/>
  <c r="AG26" i="22"/>
  <c r="AF26" i="22"/>
  <c r="AE26" i="22"/>
  <c r="AD26" i="22"/>
  <c r="AC26" i="22"/>
  <c r="AB26" i="22"/>
  <c r="AA26" i="22"/>
  <c r="Z26" i="22"/>
  <c r="Y26" i="22"/>
  <c r="X26" i="22"/>
  <c r="W26" i="22"/>
  <c r="V26" i="22"/>
  <c r="U26" i="22"/>
  <c r="T26" i="22"/>
  <c r="S26" i="22"/>
  <c r="R26" i="22"/>
  <c r="Q26" i="22"/>
  <c r="P26" i="22"/>
  <c r="O26" i="22"/>
  <c r="N26" i="22"/>
  <c r="M26" i="22"/>
  <c r="L26" i="22"/>
  <c r="K26" i="22"/>
  <c r="J26" i="22"/>
  <c r="I26" i="22"/>
  <c r="H26" i="22"/>
  <c r="G26" i="22"/>
  <c r="F26" i="22"/>
  <c r="AA43" i="22"/>
  <c r="G10" i="22"/>
  <c r="G9" i="22"/>
  <c r="D9" i="22"/>
  <c r="N30" i="22" s="1"/>
  <c r="G4" i="22"/>
  <c r="AU42" i="21"/>
  <c r="AW42" i="21"/>
  <c r="BC42" i="21"/>
  <c r="BD42" i="21"/>
  <c r="BK42" i="21"/>
  <c r="BM42" i="21"/>
  <c r="AT41" i="21"/>
  <c r="AU41" i="21"/>
  <c r="BB41" i="21"/>
  <c r="BD41" i="21"/>
  <c r="BJ41" i="21"/>
  <c r="BK41" i="21"/>
  <c r="D19" i="21"/>
  <c r="AP42" i="21" s="1"/>
  <c r="AR26" i="21"/>
  <c r="AS26" i="21"/>
  <c r="AT26" i="21"/>
  <c r="AU26" i="21"/>
  <c r="AV26" i="21"/>
  <c r="AW26" i="21"/>
  <c r="AX26" i="21"/>
  <c r="AY26" i="21"/>
  <c r="AZ26" i="21"/>
  <c r="BA26" i="21"/>
  <c r="BB26" i="21"/>
  <c r="BC26" i="21"/>
  <c r="BD26" i="21"/>
  <c r="BE26" i="21"/>
  <c r="BF26" i="21"/>
  <c r="BG26" i="21"/>
  <c r="BH26" i="21"/>
  <c r="BI26" i="21"/>
  <c r="BJ26" i="21"/>
  <c r="BK26" i="21"/>
  <c r="BL26" i="21"/>
  <c r="BM26" i="21"/>
  <c r="BN26" i="21"/>
  <c r="AN26" i="21"/>
  <c r="AN44" i="21"/>
  <c r="E33" i="21"/>
  <c r="AQ26" i="21"/>
  <c r="AP26" i="21"/>
  <c r="AO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G10" i="21"/>
  <c r="G9" i="21"/>
  <c r="D9" i="21"/>
  <c r="J32" i="21" s="1"/>
  <c r="G4" i="21"/>
  <c r="AM44" i="20"/>
  <c r="E33" i="20"/>
  <c r="AQ26" i="20"/>
  <c r="AP26" i="20"/>
  <c r="AO26" i="20"/>
  <c r="AN26" i="20"/>
  <c r="AM26" i="20"/>
  <c r="AL26" i="20"/>
  <c r="AK26" i="20"/>
  <c r="AJ26" i="20"/>
  <c r="AI26" i="20"/>
  <c r="AH26" i="20"/>
  <c r="AG26" i="20"/>
  <c r="AF26" i="20"/>
  <c r="AE26"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G10" i="20"/>
  <c r="G9" i="20"/>
  <c r="D9" i="20"/>
  <c r="L32" i="20" s="1"/>
  <c r="G4" i="20"/>
  <c r="G111" i="19"/>
  <c r="E92" i="19"/>
  <c r="AQ85" i="19"/>
  <c r="AP85" i="19"/>
  <c r="AO85" i="19"/>
  <c r="AN85" i="19"/>
  <c r="AM85" i="19"/>
  <c r="AL85" i="19"/>
  <c r="AK85" i="19"/>
  <c r="AJ85" i="19"/>
  <c r="AI85" i="19"/>
  <c r="AH85" i="19"/>
  <c r="AG85" i="19"/>
  <c r="AF85" i="19"/>
  <c r="AE85" i="19"/>
  <c r="AD85" i="19"/>
  <c r="AC85" i="19"/>
  <c r="AB85" i="19"/>
  <c r="AA85" i="19"/>
  <c r="Z85" i="19"/>
  <c r="Y85" i="19"/>
  <c r="X85" i="19"/>
  <c r="W85" i="19"/>
  <c r="V85" i="19"/>
  <c r="U85" i="19"/>
  <c r="T85" i="19"/>
  <c r="S85" i="19"/>
  <c r="R85" i="19"/>
  <c r="Q85" i="19"/>
  <c r="P85" i="19"/>
  <c r="O85" i="19"/>
  <c r="N85" i="19"/>
  <c r="M85" i="19"/>
  <c r="L85" i="19"/>
  <c r="K85" i="19"/>
  <c r="J85" i="19"/>
  <c r="I85" i="19"/>
  <c r="H85" i="19"/>
  <c r="G85" i="19"/>
  <c r="G103" i="19" s="1"/>
  <c r="F85" i="19"/>
  <c r="F103" i="19" s="1"/>
  <c r="G68" i="19"/>
  <c r="G67" i="19"/>
  <c r="D67" i="19"/>
  <c r="G91" i="19" s="1"/>
  <c r="G62" i="19"/>
  <c r="AR93" i="23" l="1"/>
  <c r="AR97" i="23" s="1"/>
  <c r="AX92" i="23"/>
  <c r="AO93" i="23"/>
  <c r="AL91" i="23"/>
  <c r="AL95" i="23" s="1"/>
  <c r="T31" i="23"/>
  <c r="T35" i="23" s="1"/>
  <c r="BD91" i="23"/>
  <c r="BD95" i="23" s="1"/>
  <c r="Y32" i="23"/>
  <c r="Y36" i="23" s="1"/>
  <c r="BC92" i="23"/>
  <c r="BC96" i="23" s="1"/>
  <c r="BF92" i="23"/>
  <c r="BF96" i="23" s="1"/>
  <c r="AZ93" i="23"/>
  <c r="BA91" i="23"/>
  <c r="AU92" i="23"/>
  <c r="AW91" i="23"/>
  <c r="AW95" i="23" s="1"/>
  <c r="AM92" i="23"/>
  <c r="AM96" i="23" s="1"/>
  <c r="AS91" i="23"/>
  <c r="AS95" i="23" s="1"/>
  <c r="BI93" i="23"/>
  <c r="BI97" i="23" s="1"/>
  <c r="AO91" i="23"/>
  <c r="AO95" i="23" s="1"/>
  <c r="BH93" i="23"/>
  <c r="T81" i="23"/>
  <c r="BG92" i="23"/>
  <c r="BA93" i="23"/>
  <c r="BA97" i="23" s="1"/>
  <c r="L30" i="22"/>
  <c r="L34" i="22" s="1"/>
  <c r="BD46" i="21"/>
  <c r="AV91" i="23"/>
  <c r="AV95" i="23" s="1"/>
  <c r="AY92" i="23"/>
  <c r="AY96" i="23" s="1"/>
  <c r="BE93" i="23"/>
  <c r="BE97" i="23" s="1"/>
  <c r="BI91" i="23"/>
  <c r="BI95" i="23" s="1"/>
  <c r="AN91" i="23"/>
  <c r="AN95" i="23" s="1"/>
  <c r="AQ92" i="23"/>
  <c r="AQ96" i="23" s="1"/>
  <c r="AW93" i="23"/>
  <c r="AW97" i="23" s="1"/>
  <c r="BE91" i="23"/>
  <c r="BE95" i="23" s="1"/>
  <c r="BK92" i="23"/>
  <c r="BK96" i="23" s="1"/>
  <c r="AP92" i="23"/>
  <c r="AP96" i="23" s="1"/>
  <c r="AS93" i="23"/>
  <c r="AS97" i="23" s="1"/>
  <c r="BK91" i="23"/>
  <c r="BK95" i="23" s="1"/>
  <c r="BC91" i="23"/>
  <c r="BC95" i="23" s="1"/>
  <c r="AU91" i="23"/>
  <c r="AU95" i="23" s="1"/>
  <c r="AM91" i="23"/>
  <c r="AM95" i="23" s="1"/>
  <c r="BE92" i="23"/>
  <c r="BE96" i="23" s="1"/>
  <c r="AW92" i="23"/>
  <c r="AW96" i="23" s="1"/>
  <c r="AO92" i="23"/>
  <c r="AO96" i="23" s="1"/>
  <c r="BG93" i="23"/>
  <c r="BG97" i="23" s="1"/>
  <c r="AY93" i="23"/>
  <c r="AY97" i="23" s="1"/>
  <c r="AQ93" i="23"/>
  <c r="AQ97" i="23" s="1"/>
  <c r="BJ91" i="23"/>
  <c r="BJ95" i="23" s="1"/>
  <c r="BB91" i="23"/>
  <c r="BB95" i="23" s="1"/>
  <c r="AT91" i="23"/>
  <c r="AT95" i="23" s="1"/>
  <c r="AL92" i="23"/>
  <c r="AL94" i="23" s="1"/>
  <c r="BD92" i="23"/>
  <c r="BD96" i="23" s="1"/>
  <c r="AV92" i="23"/>
  <c r="AN92" i="23"/>
  <c r="AN96" i="23" s="1"/>
  <c r="BF93" i="23"/>
  <c r="BF97" i="23" s="1"/>
  <c r="AX93" i="23"/>
  <c r="AX97" i="23" s="1"/>
  <c r="AP93" i="23"/>
  <c r="AP97" i="23" s="1"/>
  <c r="BH91" i="23"/>
  <c r="BH95" i="23" s="1"/>
  <c r="AZ91" i="23"/>
  <c r="AZ95" i="23" s="1"/>
  <c r="AR91" i="23"/>
  <c r="BJ92" i="23"/>
  <c r="BB92" i="23"/>
  <c r="BB96" i="23" s="1"/>
  <c r="AT92" i="23"/>
  <c r="AL93" i="23"/>
  <c r="AL97" i="23" s="1"/>
  <c r="BD93" i="23"/>
  <c r="BD97" i="23" s="1"/>
  <c r="AV93" i="23"/>
  <c r="AV97" i="23" s="1"/>
  <c r="AN93" i="23"/>
  <c r="AN97" i="23" s="1"/>
  <c r="BG91" i="23"/>
  <c r="BG95" i="23" s="1"/>
  <c r="AY91" i="23"/>
  <c r="AY95" i="23" s="1"/>
  <c r="AQ91" i="23"/>
  <c r="AQ95" i="23" s="1"/>
  <c r="BI92" i="23"/>
  <c r="BI96" i="23" s="1"/>
  <c r="BA92" i="23"/>
  <c r="BA96" i="23" s="1"/>
  <c r="AS92" i="23"/>
  <c r="AS96" i="23" s="1"/>
  <c r="BK93" i="23"/>
  <c r="BK97" i="23" s="1"/>
  <c r="BC93" i="23"/>
  <c r="BC97" i="23" s="1"/>
  <c r="AU93" i="23"/>
  <c r="AU97" i="23" s="1"/>
  <c r="AM93" i="23"/>
  <c r="AM97" i="23" s="1"/>
  <c r="BF91" i="23"/>
  <c r="BF95" i="23" s="1"/>
  <c r="AX91" i="23"/>
  <c r="AP91" i="23"/>
  <c r="AP95" i="23" s="1"/>
  <c r="BH92" i="23"/>
  <c r="BH96" i="23" s="1"/>
  <c r="AZ92" i="23"/>
  <c r="AZ96" i="23" s="1"/>
  <c r="AR92" i="23"/>
  <c r="AR96" i="23" s="1"/>
  <c r="BJ93" i="23"/>
  <c r="BJ97" i="23" s="1"/>
  <c r="BB93" i="23"/>
  <c r="BB97" i="23" s="1"/>
  <c r="AZ97" i="23"/>
  <c r="BH97" i="23"/>
  <c r="BA95" i="23"/>
  <c r="AT96" i="23"/>
  <c r="BJ96" i="23"/>
  <c r="AX96" i="23"/>
  <c r="O81" i="23"/>
  <c r="O85" i="23" s="1"/>
  <c r="L81" i="23"/>
  <c r="L85" i="23" s="1"/>
  <c r="U80" i="23"/>
  <c r="U84" i="23" s="1"/>
  <c r="G81" i="23"/>
  <c r="G85" i="23" s="1"/>
  <c r="R80" i="23"/>
  <c r="R84" i="23" s="1"/>
  <c r="J80" i="23"/>
  <c r="J84" i="23" s="1"/>
  <c r="N82" i="23"/>
  <c r="N86" i="23" s="1"/>
  <c r="V82" i="23"/>
  <c r="V86" i="23" s="1"/>
  <c r="M80" i="23"/>
  <c r="M84" i="23" s="1"/>
  <c r="Q82" i="23"/>
  <c r="Q86" i="23" s="1"/>
  <c r="W81" i="23"/>
  <c r="W85" i="23" s="1"/>
  <c r="I82" i="23"/>
  <c r="I86" i="23" s="1"/>
  <c r="G86" i="23"/>
  <c r="Q80" i="23"/>
  <c r="Q84" i="23" s="1"/>
  <c r="I80" i="23"/>
  <c r="S81" i="23"/>
  <c r="S85" i="23" s="1"/>
  <c r="K81" i="23"/>
  <c r="K85" i="23" s="1"/>
  <c r="U82" i="23"/>
  <c r="U86" i="23" s="1"/>
  <c r="M82" i="23"/>
  <c r="M86" i="23" s="1"/>
  <c r="F80" i="23"/>
  <c r="P80" i="23"/>
  <c r="P84" i="23" s="1"/>
  <c r="H80" i="23"/>
  <c r="H84" i="23" s="1"/>
  <c r="R81" i="23"/>
  <c r="J81" i="23"/>
  <c r="J85" i="23" s="1"/>
  <c r="T82" i="23"/>
  <c r="T86" i="23" s="1"/>
  <c r="L82" i="23"/>
  <c r="L86" i="23" s="1"/>
  <c r="W80" i="23"/>
  <c r="W84" i="23" s="1"/>
  <c r="O80" i="23"/>
  <c r="O84" i="23" s="1"/>
  <c r="G80" i="23"/>
  <c r="G84" i="23" s="1"/>
  <c r="Q81" i="23"/>
  <c r="Q85" i="23" s="1"/>
  <c r="I81" i="23"/>
  <c r="I85" i="23" s="1"/>
  <c r="S82" i="23"/>
  <c r="S86" i="23" s="1"/>
  <c r="K82" i="23"/>
  <c r="K86" i="23" s="1"/>
  <c r="V80" i="23"/>
  <c r="V84" i="23" s="1"/>
  <c r="N80" i="23"/>
  <c r="N84" i="23" s="1"/>
  <c r="F81" i="23"/>
  <c r="F85" i="23" s="1"/>
  <c r="P81" i="23"/>
  <c r="P85" i="23" s="1"/>
  <c r="H81" i="23"/>
  <c r="H85" i="23" s="1"/>
  <c r="R82" i="23"/>
  <c r="R86" i="23" s="1"/>
  <c r="J82" i="23"/>
  <c r="J86" i="23" s="1"/>
  <c r="T80" i="23"/>
  <c r="T84" i="23" s="1"/>
  <c r="L80" i="23"/>
  <c r="L84" i="23" s="1"/>
  <c r="V81" i="23"/>
  <c r="V85" i="23" s="1"/>
  <c r="N81" i="23"/>
  <c r="N85" i="23" s="1"/>
  <c r="F82" i="23"/>
  <c r="F86" i="23" s="1"/>
  <c r="P82" i="23"/>
  <c r="P86" i="23" s="1"/>
  <c r="H82" i="23"/>
  <c r="H86" i="23" s="1"/>
  <c r="S80" i="23"/>
  <c r="S84" i="23" s="1"/>
  <c r="K80" i="23"/>
  <c r="K84" i="23" s="1"/>
  <c r="U81" i="23"/>
  <c r="U85" i="23" s="1"/>
  <c r="M81" i="23"/>
  <c r="M85" i="23" s="1"/>
  <c r="W82" i="23"/>
  <c r="W86" i="23" s="1"/>
  <c r="O82" i="23"/>
  <c r="O86" i="23" s="1"/>
  <c r="BI41" i="23"/>
  <c r="BF41" i="23"/>
  <c r="BA41" i="23"/>
  <c r="AX41" i="23"/>
  <c r="AS41" i="23"/>
  <c r="AP41" i="23"/>
  <c r="BH41" i="23"/>
  <c r="AZ41" i="23"/>
  <c r="AR41" i="23"/>
  <c r="BG41" i="23"/>
  <c r="AY41" i="23"/>
  <c r="AQ41" i="23"/>
  <c r="AW41" i="23"/>
  <c r="BE41" i="23"/>
  <c r="AL41" i="23"/>
  <c r="BD41" i="23"/>
  <c r="AV41" i="23"/>
  <c r="AN41" i="23"/>
  <c r="BK41" i="23"/>
  <c r="BC41" i="23"/>
  <c r="AU41" i="23"/>
  <c r="AM41" i="23"/>
  <c r="AO41" i="23"/>
  <c r="BJ41" i="23"/>
  <c r="BB41" i="23"/>
  <c r="AX95" i="23"/>
  <c r="Q32" i="23"/>
  <c r="Q36" i="23" s="1"/>
  <c r="I32" i="23"/>
  <c r="I36" i="23" s="1"/>
  <c r="AA30" i="23"/>
  <c r="AA34" i="23" s="1"/>
  <c r="L31" i="23"/>
  <c r="L35" i="23" s="1"/>
  <c r="AA31" i="23"/>
  <c r="AA35" i="23" s="1"/>
  <c r="K31" i="23"/>
  <c r="X32" i="23"/>
  <c r="X36" i="23" s="1"/>
  <c r="H32" i="23"/>
  <c r="H36" i="23" s="1"/>
  <c r="O30" i="23"/>
  <c r="O34" i="23" s="1"/>
  <c r="Z31" i="23"/>
  <c r="Z35" i="23" s="1"/>
  <c r="R31" i="23"/>
  <c r="R35" i="23" s="1"/>
  <c r="J31" i="23"/>
  <c r="J35" i="23" s="1"/>
  <c r="W32" i="23"/>
  <c r="W36" i="23" s="1"/>
  <c r="O32" i="23"/>
  <c r="G32" i="23"/>
  <c r="G36" i="23" s="1"/>
  <c r="S31" i="23"/>
  <c r="S35" i="23" s="1"/>
  <c r="P32" i="23"/>
  <c r="P36" i="23" s="1"/>
  <c r="Y31" i="23"/>
  <c r="Y35" i="23" s="1"/>
  <c r="Q31" i="23"/>
  <c r="Q35" i="23" s="1"/>
  <c r="I31" i="23"/>
  <c r="I35" i="23" s="1"/>
  <c r="V32" i="23"/>
  <c r="V36" i="23" s="1"/>
  <c r="N32" i="23"/>
  <c r="H31" i="23"/>
  <c r="H35" i="23" s="1"/>
  <c r="Z30" i="23"/>
  <c r="Z34" i="23" s="1"/>
  <c r="W31" i="23"/>
  <c r="W35" i="23" s="1"/>
  <c r="O31" i="23"/>
  <c r="O35" i="23" s="1"/>
  <c r="G31" i="23"/>
  <c r="G35" i="23" s="1"/>
  <c r="T32" i="23"/>
  <c r="T36" i="23" s="1"/>
  <c r="L32" i="23"/>
  <c r="L36" i="23" s="1"/>
  <c r="P31" i="23"/>
  <c r="M32" i="23"/>
  <c r="M36" i="23" s="1"/>
  <c r="Y30" i="23"/>
  <c r="Y34" i="23" s="1"/>
  <c r="V31" i="23"/>
  <c r="V35" i="23" s="1"/>
  <c r="N31" i="23"/>
  <c r="N35" i="23" s="1"/>
  <c r="AA32" i="23"/>
  <c r="AA36" i="23" s="1"/>
  <c r="S32" i="23"/>
  <c r="S36" i="23" s="1"/>
  <c r="K32" i="23"/>
  <c r="X31" i="23"/>
  <c r="X35" i="23" s="1"/>
  <c r="U32" i="23"/>
  <c r="U36" i="23" s="1"/>
  <c r="X30" i="23"/>
  <c r="X34" i="23" s="1"/>
  <c r="U31" i="23"/>
  <c r="U35" i="23" s="1"/>
  <c r="M31" i="23"/>
  <c r="M35" i="23" s="1"/>
  <c r="Z32" i="23"/>
  <c r="Z36" i="23" s="1"/>
  <c r="R32" i="23"/>
  <c r="R36" i="23" s="1"/>
  <c r="AF42" i="22"/>
  <c r="K30" i="22"/>
  <c r="I30" i="22"/>
  <c r="I34" i="22" s="1"/>
  <c r="H30" i="22"/>
  <c r="G30" i="22"/>
  <c r="M30" i="22"/>
  <c r="J30" i="22"/>
  <c r="J34" i="22" s="1"/>
  <c r="BL41" i="21"/>
  <c r="BL45" i="21" s="1"/>
  <c r="AV41" i="21"/>
  <c r="BE42" i="21"/>
  <c r="BI41" i="21"/>
  <c r="BI45" i="21" s="1"/>
  <c r="AS41" i="21"/>
  <c r="AS45" i="21" s="1"/>
  <c r="BB42" i="21"/>
  <c r="BB46" i="21" s="1"/>
  <c r="BC41" i="21"/>
  <c r="BL42" i="21"/>
  <c r="BL46" i="21" s="1"/>
  <c r="AV42" i="21"/>
  <c r="AV46" i="21" s="1"/>
  <c r="BA41" i="21"/>
  <c r="BA45" i="21" s="1"/>
  <c r="BJ42" i="21"/>
  <c r="BJ46" i="21" s="1"/>
  <c r="AT42" i="21"/>
  <c r="AT46" i="21" s="1"/>
  <c r="BI42" i="21"/>
  <c r="BI46" i="21" s="1"/>
  <c r="AZ41" i="21"/>
  <c r="AS42" i="21"/>
  <c r="AS46" i="21" s="1"/>
  <c r="AO41" i="21"/>
  <c r="AO45" i="21" s="1"/>
  <c r="BG41" i="21"/>
  <c r="BG45" i="21" s="1"/>
  <c r="AY41" i="21"/>
  <c r="AY45" i="21" s="1"/>
  <c r="AQ41" i="21"/>
  <c r="BH42" i="21"/>
  <c r="BH46" i="21" s="1"/>
  <c r="AZ42" i="21"/>
  <c r="AZ46" i="21" s="1"/>
  <c r="AR42" i="21"/>
  <c r="BI43" i="21"/>
  <c r="BI47" i="21" s="1"/>
  <c r="BH41" i="21"/>
  <c r="BH45" i="21" s="1"/>
  <c r="AR41" i="21"/>
  <c r="AR45" i="21" s="1"/>
  <c r="BA42" i="21"/>
  <c r="BA46" i="21" s="1"/>
  <c r="BM46" i="21"/>
  <c r="BE46" i="21"/>
  <c r="AW46" i="21"/>
  <c r="BN41" i="21"/>
  <c r="BF41" i="21"/>
  <c r="BF45" i="21" s="1"/>
  <c r="AX41" i="21"/>
  <c r="AX45" i="21" s="1"/>
  <c r="AP41" i="21"/>
  <c r="BG42" i="21"/>
  <c r="BG46" i="21" s="1"/>
  <c r="AY42" i="21"/>
  <c r="AY46" i="21" s="1"/>
  <c r="AQ42" i="21"/>
  <c r="AQ46" i="21" s="1"/>
  <c r="AP46" i="21"/>
  <c r="BM41" i="21"/>
  <c r="BM45" i="21" s="1"/>
  <c r="BE41" i="21"/>
  <c r="BE45" i="21" s="1"/>
  <c r="AW41" i="21"/>
  <c r="AW45" i="21" s="1"/>
  <c r="BN42" i="21"/>
  <c r="BN46" i="21" s="1"/>
  <c r="BF42" i="21"/>
  <c r="BF46" i="21" s="1"/>
  <c r="AX42" i="21"/>
  <c r="AX46" i="21" s="1"/>
  <c r="BJ45" i="21"/>
  <c r="BB45" i="21"/>
  <c r="AT45" i="21"/>
  <c r="BK46" i="21"/>
  <c r="BC46" i="21"/>
  <c r="AU46" i="21"/>
  <c r="AR46" i="21"/>
  <c r="BN45" i="21"/>
  <c r="AP45" i="21"/>
  <c r="I84" i="23"/>
  <c r="T85" i="23"/>
  <c r="AT97" i="23"/>
  <c r="AV96" i="23"/>
  <c r="AO97" i="23"/>
  <c r="R85" i="23"/>
  <c r="BG96" i="23"/>
  <c r="AU96" i="23"/>
  <c r="BD45" i="21"/>
  <c r="AZ45" i="21"/>
  <c r="AV45" i="21"/>
  <c r="BK45" i="21"/>
  <c r="BC45" i="21"/>
  <c r="AU45" i="21"/>
  <c r="AQ45" i="21"/>
  <c r="L36" i="20"/>
  <c r="AA113" i="19"/>
  <c r="AL112" i="19"/>
  <c r="K113" i="19"/>
  <c r="V112" i="19"/>
  <c r="AH114" i="19"/>
  <c r="AQ113" i="19"/>
  <c r="R114" i="19"/>
  <c r="K114" i="19"/>
  <c r="R91" i="19"/>
  <c r="R95" i="19" s="1"/>
  <c r="J89" i="19"/>
  <c r="J93" i="19" s="1"/>
  <c r="L90" i="19"/>
  <c r="L94" i="19" s="1"/>
  <c r="N91" i="19"/>
  <c r="N95" i="19" s="1"/>
  <c r="AH112" i="19"/>
  <c r="R112" i="19"/>
  <c r="AM113" i="19"/>
  <c r="W113" i="19"/>
  <c r="AD114" i="19"/>
  <c r="N114" i="19"/>
  <c r="N89" i="19"/>
  <c r="N93" i="19" s="1"/>
  <c r="V89" i="19"/>
  <c r="V93" i="19" s="1"/>
  <c r="F90" i="19"/>
  <c r="F92" i="19" s="1"/>
  <c r="H90" i="19"/>
  <c r="H94" i="19" s="1"/>
  <c r="J91" i="19"/>
  <c r="J95" i="19" s="1"/>
  <c r="AD112" i="19"/>
  <c r="N112" i="19"/>
  <c r="AI113" i="19"/>
  <c r="S113" i="19"/>
  <c r="AP114" i="19"/>
  <c r="Z114" i="19"/>
  <c r="J114" i="19"/>
  <c r="P90" i="19"/>
  <c r="P94" i="19" s="1"/>
  <c r="R89" i="19"/>
  <c r="R93" i="19" s="1"/>
  <c r="T90" i="19"/>
  <c r="T94" i="19" s="1"/>
  <c r="V91" i="19"/>
  <c r="V95" i="19" s="1"/>
  <c r="AP112" i="19"/>
  <c r="Z112" i="19"/>
  <c r="J112" i="19"/>
  <c r="AE113" i="19"/>
  <c r="O113" i="19"/>
  <c r="AL114" i="19"/>
  <c r="V114" i="19"/>
  <c r="G95" i="19"/>
  <c r="U89" i="19"/>
  <c r="U93" i="19" s="1"/>
  <c r="Q89" i="19"/>
  <c r="Q93" i="19" s="1"/>
  <c r="M89" i="19"/>
  <c r="M93" i="19" s="1"/>
  <c r="I89" i="19"/>
  <c r="W90" i="19"/>
  <c r="W94" i="19" s="1"/>
  <c r="S90" i="19"/>
  <c r="S94" i="19" s="1"/>
  <c r="O90" i="19"/>
  <c r="O94" i="19" s="1"/>
  <c r="K90" i="19"/>
  <c r="K94" i="19" s="1"/>
  <c r="G90" i="19"/>
  <c r="G94" i="19" s="1"/>
  <c r="U91" i="19"/>
  <c r="U95" i="19" s="1"/>
  <c r="Q91" i="19"/>
  <c r="Q95" i="19" s="1"/>
  <c r="M91" i="19"/>
  <c r="M95" i="19" s="1"/>
  <c r="I91" i="19"/>
  <c r="I95" i="19" s="1"/>
  <c r="AO112" i="19"/>
  <c r="AK112" i="19"/>
  <c r="AG112" i="19"/>
  <c r="AC112" i="19"/>
  <c r="Y112" i="19"/>
  <c r="U112" i="19"/>
  <c r="Q112" i="19"/>
  <c r="M112" i="19"/>
  <c r="I112" i="19"/>
  <c r="AP113" i="19"/>
  <c r="AL113" i="19"/>
  <c r="AH113" i="19"/>
  <c r="AD113" i="19"/>
  <c r="Z113" i="19"/>
  <c r="V113" i="19"/>
  <c r="R113" i="19"/>
  <c r="N113" i="19"/>
  <c r="J113" i="19"/>
  <c r="AO114" i="19"/>
  <c r="AK114" i="19"/>
  <c r="AG114" i="19"/>
  <c r="AC114" i="19"/>
  <c r="Y114" i="19"/>
  <c r="U114" i="19"/>
  <c r="Q114" i="19"/>
  <c r="M114" i="19"/>
  <c r="I114" i="19"/>
  <c r="F89" i="19"/>
  <c r="F93" i="19" s="1"/>
  <c r="T89" i="19"/>
  <c r="T93" i="19" s="1"/>
  <c r="P89" i="19"/>
  <c r="P93" i="19" s="1"/>
  <c r="L89" i="19"/>
  <c r="L93" i="19" s="1"/>
  <c r="H89" i="19"/>
  <c r="H93" i="19" s="1"/>
  <c r="V90" i="19"/>
  <c r="V94" i="19" s="1"/>
  <c r="R90" i="19"/>
  <c r="R94" i="19" s="1"/>
  <c r="N90" i="19"/>
  <c r="N94" i="19" s="1"/>
  <c r="J90" i="19"/>
  <c r="J94" i="19" s="1"/>
  <c r="F91" i="19"/>
  <c r="F95" i="19" s="1"/>
  <c r="T91" i="19"/>
  <c r="T95" i="19" s="1"/>
  <c r="P91" i="19"/>
  <c r="P95" i="19" s="1"/>
  <c r="L91" i="19"/>
  <c r="L95" i="19" s="1"/>
  <c r="H91" i="19"/>
  <c r="H95" i="19" s="1"/>
  <c r="H112" i="19"/>
  <c r="AN112" i="19"/>
  <c r="AJ112" i="19"/>
  <c r="AF112" i="19"/>
  <c r="AB112" i="19"/>
  <c r="X112" i="19"/>
  <c r="T112" i="19"/>
  <c r="P112" i="19"/>
  <c r="L112" i="19"/>
  <c r="AO113" i="19"/>
  <c r="AK113" i="19"/>
  <c r="AG113" i="19"/>
  <c r="AC113" i="19"/>
  <c r="Y113" i="19"/>
  <c r="U113" i="19"/>
  <c r="Q113" i="19"/>
  <c r="M113" i="19"/>
  <c r="I113" i="19"/>
  <c r="AN114" i="19"/>
  <c r="AJ114" i="19"/>
  <c r="AF114" i="19"/>
  <c r="AB114" i="19"/>
  <c r="X114" i="19"/>
  <c r="T114" i="19"/>
  <c r="P114" i="19"/>
  <c r="L114" i="19"/>
  <c r="W89" i="19"/>
  <c r="W93" i="19" s="1"/>
  <c r="S89" i="19"/>
  <c r="S93" i="19" s="1"/>
  <c r="O89" i="19"/>
  <c r="O93" i="19" s="1"/>
  <c r="K89" i="19"/>
  <c r="K93" i="19" s="1"/>
  <c r="G89" i="19"/>
  <c r="G93" i="19" s="1"/>
  <c r="U90" i="19"/>
  <c r="U94" i="19" s="1"/>
  <c r="Q90" i="19"/>
  <c r="Q94" i="19" s="1"/>
  <c r="M90" i="19"/>
  <c r="M94" i="19" s="1"/>
  <c r="I90" i="19"/>
  <c r="I94" i="19" s="1"/>
  <c r="W91" i="19"/>
  <c r="W95" i="19" s="1"/>
  <c r="S91" i="19"/>
  <c r="S95" i="19" s="1"/>
  <c r="O91" i="19"/>
  <c r="O95" i="19" s="1"/>
  <c r="K91" i="19"/>
  <c r="K95" i="19" s="1"/>
  <c r="AQ112" i="19"/>
  <c r="AM112" i="19"/>
  <c r="AI112" i="19"/>
  <c r="AE112" i="19"/>
  <c r="AA112" i="19"/>
  <c r="W112" i="19"/>
  <c r="S112" i="19"/>
  <c r="O112" i="19"/>
  <c r="K112" i="19"/>
  <c r="H113" i="19"/>
  <c r="AN113" i="19"/>
  <c r="AJ113" i="19"/>
  <c r="AF113" i="19"/>
  <c r="AB113" i="19"/>
  <c r="X113" i="19"/>
  <c r="T113" i="19"/>
  <c r="P113" i="19"/>
  <c r="L113" i="19"/>
  <c r="AQ114" i="19"/>
  <c r="AM114" i="19"/>
  <c r="AI114" i="19"/>
  <c r="AE114" i="19"/>
  <c r="AA114" i="19"/>
  <c r="W114" i="19"/>
  <c r="S114" i="19"/>
  <c r="O114" i="19"/>
  <c r="W30" i="23"/>
  <c r="W34" i="23" s="1"/>
  <c r="G30" i="23"/>
  <c r="G34" i="23" s="1"/>
  <c r="J30" i="23"/>
  <c r="J34" i="23" s="1"/>
  <c r="R30" i="23"/>
  <c r="R34" i="23" s="1"/>
  <c r="K30" i="23"/>
  <c r="K34" i="23" s="1"/>
  <c r="S30" i="23"/>
  <c r="S34" i="23" s="1"/>
  <c r="P35" i="23"/>
  <c r="F30" i="23"/>
  <c r="N30" i="23"/>
  <c r="N34" i="23" s="1"/>
  <c r="V30" i="23"/>
  <c r="V34" i="23" s="1"/>
  <c r="K35" i="23"/>
  <c r="AN42" i="23"/>
  <c r="AV42" i="23"/>
  <c r="BD42" i="23"/>
  <c r="AQ43" i="23"/>
  <c r="AY43" i="23"/>
  <c r="BG43" i="23"/>
  <c r="BI43" i="23"/>
  <c r="BE43" i="23"/>
  <c r="BA43" i="23"/>
  <c r="AW43" i="23"/>
  <c r="AS43" i="23"/>
  <c r="AO43" i="23"/>
  <c r="BJ42" i="23"/>
  <c r="BF42" i="23"/>
  <c r="BB42" i="23"/>
  <c r="AX42" i="23"/>
  <c r="AT42" i="23"/>
  <c r="AP42" i="23"/>
  <c r="AL42" i="23"/>
  <c r="BH43" i="23"/>
  <c r="BD43" i="23"/>
  <c r="AZ43" i="23"/>
  <c r="AV43" i="23"/>
  <c r="AR43" i="23"/>
  <c r="AN43" i="23"/>
  <c r="BI42" i="23"/>
  <c r="BE42" i="23"/>
  <c r="BA42" i="23"/>
  <c r="AW42" i="23"/>
  <c r="AS42" i="23"/>
  <c r="AO42" i="23"/>
  <c r="AQ42" i="23"/>
  <c r="AY42" i="23"/>
  <c r="BG42" i="23"/>
  <c r="AL43" i="23"/>
  <c r="AT43" i="23"/>
  <c r="BB43" i="23"/>
  <c r="BJ43" i="23"/>
  <c r="H30" i="23"/>
  <c r="H34" i="23" s="1"/>
  <c r="L30" i="23"/>
  <c r="L34" i="23" s="1"/>
  <c r="P30" i="23"/>
  <c r="P34" i="23" s="1"/>
  <c r="T30" i="23"/>
  <c r="T34" i="23" s="1"/>
  <c r="F32" i="23"/>
  <c r="J36" i="23"/>
  <c r="N36" i="23"/>
  <c r="AR42" i="23"/>
  <c r="AZ42" i="23"/>
  <c r="BH42" i="23"/>
  <c r="AM43" i="23"/>
  <c r="AU43" i="23"/>
  <c r="BC43" i="23"/>
  <c r="BK43" i="23"/>
  <c r="I30" i="23"/>
  <c r="I34" i="23" s="1"/>
  <c r="M30" i="23"/>
  <c r="M34" i="23" s="1"/>
  <c r="Q30" i="23"/>
  <c r="Q34" i="23" s="1"/>
  <c r="U30" i="23"/>
  <c r="U34" i="23" s="1"/>
  <c r="F31" i="23"/>
  <c r="K36" i="23"/>
  <c r="O36" i="23"/>
  <c r="AM42" i="23"/>
  <c r="AU42" i="23"/>
  <c r="BC42" i="23"/>
  <c r="BK42" i="23"/>
  <c r="AP43" i="23"/>
  <c r="AX43" i="23"/>
  <c r="BF43" i="23"/>
  <c r="AA47" i="22"/>
  <c r="Q41" i="22"/>
  <c r="U41" i="22"/>
  <c r="P42" i="22"/>
  <c r="AG41" i="22"/>
  <c r="AB42" i="22"/>
  <c r="W43" i="22"/>
  <c r="W47" i="22" s="1"/>
  <c r="K34" i="22"/>
  <c r="I31" i="22"/>
  <c r="I35" i="22" s="1"/>
  <c r="I32" i="22"/>
  <c r="I36" i="22" s="1"/>
  <c r="L31" i="22"/>
  <c r="L35" i="22" s="1"/>
  <c r="J32" i="22"/>
  <c r="G34" i="22"/>
  <c r="M31" i="22"/>
  <c r="M35" i="22" s="1"/>
  <c r="M32" i="22"/>
  <c r="M36" i="22" s="1"/>
  <c r="H34" i="22"/>
  <c r="H31" i="22"/>
  <c r="H35" i="22" s="1"/>
  <c r="F36" i="22"/>
  <c r="N32" i="22"/>
  <c r="N36" i="22" s="1"/>
  <c r="J36" i="22"/>
  <c r="M34" i="22"/>
  <c r="F33" i="22"/>
  <c r="J31" i="22"/>
  <c r="J35" i="22" s="1"/>
  <c r="N31" i="22"/>
  <c r="N35" i="22" s="1"/>
  <c r="G32" i="22"/>
  <c r="K32" i="22"/>
  <c r="K36" i="22" s="1"/>
  <c r="Y41" i="22"/>
  <c r="T42" i="22"/>
  <c r="O43" i="22"/>
  <c r="AE43" i="22"/>
  <c r="AE47" i="22" s="1"/>
  <c r="AH43" i="22"/>
  <c r="AH47" i="22" s="1"/>
  <c r="AD43" i="22"/>
  <c r="AD47" i="22" s="1"/>
  <c r="Z43" i="22"/>
  <c r="Z47" i="22" s="1"/>
  <c r="V43" i="22"/>
  <c r="V47" i="22" s="1"/>
  <c r="R43" i="22"/>
  <c r="R47" i="22" s="1"/>
  <c r="AE42" i="22"/>
  <c r="AA42" i="22"/>
  <c r="W42" i="22"/>
  <c r="S42" i="22"/>
  <c r="O42" i="22"/>
  <c r="AF41" i="22"/>
  <c r="AB41" i="22"/>
  <c r="X41" i="22"/>
  <c r="T41" i="22"/>
  <c r="P41" i="22"/>
  <c r="AG43" i="22"/>
  <c r="AG47" i="22" s="1"/>
  <c r="AC43" i="22"/>
  <c r="AC47" i="22" s="1"/>
  <c r="Y43" i="22"/>
  <c r="Y47" i="22" s="1"/>
  <c r="U43" i="22"/>
  <c r="U47" i="22" s="1"/>
  <c r="Q43" i="22"/>
  <c r="Q47" i="22" s="1"/>
  <c r="AH42" i="22"/>
  <c r="AD42" i="22"/>
  <c r="Z42" i="22"/>
  <c r="V42" i="22"/>
  <c r="R42" i="22"/>
  <c r="AE41" i="22"/>
  <c r="AA41" i="22"/>
  <c r="W41" i="22"/>
  <c r="S41" i="22"/>
  <c r="O41" i="22"/>
  <c r="AF43" i="22"/>
  <c r="AF47" i="22" s="1"/>
  <c r="AB43" i="22"/>
  <c r="AB47" i="22" s="1"/>
  <c r="X43" i="22"/>
  <c r="X47" i="22" s="1"/>
  <c r="T43" i="22"/>
  <c r="T47" i="22" s="1"/>
  <c r="P43" i="22"/>
  <c r="P47" i="22" s="1"/>
  <c r="AG42" i="22"/>
  <c r="AC42" i="22"/>
  <c r="Y42" i="22"/>
  <c r="U42" i="22"/>
  <c r="Q42" i="22"/>
  <c r="AH41" i="22"/>
  <c r="AD41" i="22"/>
  <c r="Z41" i="22"/>
  <c r="V41" i="22"/>
  <c r="R41" i="22"/>
  <c r="N34" i="22"/>
  <c r="G31" i="22"/>
  <c r="G35" i="22" s="1"/>
  <c r="K31" i="22"/>
  <c r="K35" i="22" s="1"/>
  <c r="H32" i="22"/>
  <c r="H36" i="22" s="1"/>
  <c r="L32" i="22"/>
  <c r="L36" i="22" s="1"/>
  <c r="AC41" i="22"/>
  <c r="X42" i="22"/>
  <c r="S43" i="22"/>
  <c r="S47" i="22" s="1"/>
  <c r="M30" i="21"/>
  <c r="M34" i="21" s="1"/>
  <c r="AC30" i="21"/>
  <c r="AC34" i="21" s="1"/>
  <c r="M32" i="21"/>
  <c r="M36" i="21" s="1"/>
  <c r="Y30" i="21"/>
  <c r="Y34" i="21" s="1"/>
  <c r="I30" i="21"/>
  <c r="I34" i="21" s="1"/>
  <c r="R31" i="21"/>
  <c r="Y32" i="21"/>
  <c r="Y36" i="21" s="1"/>
  <c r="I32" i="21"/>
  <c r="I36" i="21" s="1"/>
  <c r="AC32" i="21"/>
  <c r="AC36" i="21" s="1"/>
  <c r="U30" i="21"/>
  <c r="U34" i="21" s="1"/>
  <c r="AD31" i="21"/>
  <c r="AD35" i="21" s="1"/>
  <c r="N31" i="21"/>
  <c r="N35" i="21" s="1"/>
  <c r="U32" i="21"/>
  <c r="U36" i="21" s="1"/>
  <c r="V31" i="21"/>
  <c r="Q30" i="21"/>
  <c r="Q34" i="21" s="1"/>
  <c r="Z31" i="21"/>
  <c r="Z35" i="21" s="1"/>
  <c r="J31" i="21"/>
  <c r="Q32" i="21"/>
  <c r="Q36" i="21" s="1"/>
  <c r="F30" i="21"/>
  <c r="AB30" i="21"/>
  <c r="AB34" i="21" s="1"/>
  <c r="X30" i="21"/>
  <c r="X34" i="21" s="1"/>
  <c r="T30" i="21"/>
  <c r="P30" i="21"/>
  <c r="P34" i="21" s="1"/>
  <c r="L30" i="21"/>
  <c r="L34" i="21" s="1"/>
  <c r="H30" i="21"/>
  <c r="H34" i="21" s="1"/>
  <c r="AC31" i="21"/>
  <c r="AC35" i="21" s="1"/>
  <c r="Y31" i="21"/>
  <c r="Y35" i="21" s="1"/>
  <c r="U31" i="21"/>
  <c r="U35" i="21" s="1"/>
  <c r="Q31" i="21"/>
  <c r="Q35" i="21" s="1"/>
  <c r="M31" i="21"/>
  <c r="M35" i="21" s="1"/>
  <c r="I31" i="21"/>
  <c r="I35" i="21" s="1"/>
  <c r="AB32" i="21"/>
  <c r="AB36" i="21" s="1"/>
  <c r="X32" i="21"/>
  <c r="X36" i="21" s="1"/>
  <c r="T32" i="21"/>
  <c r="T36" i="21" s="1"/>
  <c r="P32" i="21"/>
  <c r="P36" i="21" s="1"/>
  <c r="L32" i="21"/>
  <c r="L36" i="21" s="1"/>
  <c r="H32" i="21"/>
  <c r="H36" i="21" s="1"/>
  <c r="AX43" i="21"/>
  <c r="AX47" i="21" s="1"/>
  <c r="AE30" i="21"/>
  <c r="AE34" i="21" s="1"/>
  <c r="AA30" i="21"/>
  <c r="AA34" i="21" s="1"/>
  <c r="W30" i="21"/>
  <c r="W34" i="21" s="1"/>
  <c r="S30" i="21"/>
  <c r="S34" i="21" s="1"/>
  <c r="O30" i="21"/>
  <c r="O34" i="21" s="1"/>
  <c r="K30" i="21"/>
  <c r="K34" i="21" s="1"/>
  <c r="G30" i="21"/>
  <c r="G34" i="21" s="1"/>
  <c r="AB31" i="21"/>
  <c r="AB35" i="21" s="1"/>
  <c r="X31" i="21"/>
  <c r="X35" i="21" s="1"/>
  <c r="T31" i="21"/>
  <c r="T35" i="21" s="1"/>
  <c r="P31" i="21"/>
  <c r="P35" i="21" s="1"/>
  <c r="L31" i="21"/>
  <c r="L35" i="21" s="1"/>
  <c r="H31" i="21"/>
  <c r="H35" i="21" s="1"/>
  <c r="AE32" i="21"/>
  <c r="AE36" i="21" s="1"/>
  <c r="AA32" i="21"/>
  <c r="AA36" i="21" s="1"/>
  <c r="W32" i="21"/>
  <c r="S32" i="21"/>
  <c r="S36" i="21" s="1"/>
  <c r="O32" i="21"/>
  <c r="O36" i="21" s="1"/>
  <c r="K32" i="21"/>
  <c r="K36" i="21" s="1"/>
  <c r="G32" i="21"/>
  <c r="G36" i="21" s="1"/>
  <c r="BN43" i="21"/>
  <c r="BN47" i="21" s="1"/>
  <c r="AD30" i="21"/>
  <c r="AD34" i="21" s="1"/>
  <c r="Z30" i="21"/>
  <c r="Z34" i="21" s="1"/>
  <c r="V30" i="21"/>
  <c r="R30" i="21"/>
  <c r="R34" i="21" s="1"/>
  <c r="N30" i="21"/>
  <c r="N34" i="21" s="1"/>
  <c r="J30" i="21"/>
  <c r="J34" i="21" s="1"/>
  <c r="AE31" i="21"/>
  <c r="AE35" i="21" s="1"/>
  <c r="AA31" i="21"/>
  <c r="AA35" i="21" s="1"/>
  <c r="W31" i="21"/>
  <c r="W35" i="21" s="1"/>
  <c r="S31" i="21"/>
  <c r="S35" i="21" s="1"/>
  <c r="O31" i="21"/>
  <c r="K31" i="21"/>
  <c r="K35" i="21" s="1"/>
  <c r="G31" i="21"/>
  <c r="G35" i="21" s="1"/>
  <c r="AD32" i="21"/>
  <c r="AD36" i="21" s="1"/>
  <c r="Z32" i="21"/>
  <c r="Z36" i="21" s="1"/>
  <c r="V32" i="21"/>
  <c r="V36" i="21" s="1"/>
  <c r="R32" i="21"/>
  <c r="R36" i="21" s="1"/>
  <c r="N32" i="21"/>
  <c r="N36" i="21" s="1"/>
  <c r="BA43" i="21"/>
  <c r="BA47" i="21" s="1"/>
  <c r="AP43" i="21"/>
  <c r="AP47" i="21" s="1"/>
  <c r="BF43" i="21"/>
  <c r="BF47" i="21" s="1"/>
  <c r="AS43" i="21"/>
  <c r="AS47" i="21" s="1"/>
  <c r="J36" i="21"/>
  <c r="T34" i="21"/>
  <c r="F32" i="21"/>
  <c r="J35" i="21"/>
  <c r="R35" i="21"/>
  <c r="BL43" i="21"/>
  <c r="BL47" i="21" s="1"/>
  <c r="BH43" i="21"/>
  <c r="BH47" i="21" s="1"/>
  <c r="BD43" i="21"/>
  <c r="BD47" i="21" s="1"/>
  <c r="AZ43" i="21"/>
  <c r="AZ47" i="21" s="1"/>
  <c r="AV43" i="21"/>
  <c r="AV47" i="21" s="1"/>
  <c r="AR43" i="21"/>
  <c r="AR47" i="21" s="1"/>
  <c r="AO42" i="21"/>
  <c r="BK43" i="21"/>
  <c r="BK47" i="21" s="1"/>
  <c r="BG43" i="21"/>
  <c r="BG47" i="21" s="1"/>
  <c r="BC43" i="21"/>
  <c r="BC47" i="21" s="1"/>
  <c r="AY43" i="21"/>
  <c r="AY47" i="21" s="1"/>
  <c r="AU43" i="21"/>
  <c r="AU47" i="21" s="1"/>
  <c r="AQ43" i="21"/>
  <c r="AQ47" i="21" s="1"/>
  <c r="V34" i="21"/>
  <c r="O35" i="21"/>
  <c r="AT43" i="21"/>
  <c r="AT47" i="21" s="1"/>
  <c r="BB43" i="21"/>
  <c r="BB47" i="21" s="1"/>
  <c r="BJ43" i="21"/>
  <c r="BJ47" i="21" s="1"/>
  <c r="F31" i="21"/>
  <c r="V35" i="21"/>
  <c r="W36" i="21"/>
  <c r="AO43" i="21"/>
  <c r="AW43" i="21"/>
  <c r="AW47" i="21" s="1"/>
  <c r="BE43" i="21"/>
  <c r="BE47" i="21" s="1"/>
  <c r="BM43" i="21"/>
  <c r="BM47" i="21" s="1"/>
  <c r="L31" i="20"/>
  <c r="L35" i="20" s="1"/>
  <c r="G30" i="20"/>
  <c r="G34" i="20" s="1"/>
  <c r="J30" i="20"/>
  <c r="J34" i="20" s="1"/>
  <c r="G31" i="20"/>
  <c r="G35" i="20" s="1"/>
  <c r="M32" i="20"/>
  <c r="M36" i="20" s="1"/>
  <c r="K30" i="20"/>
  <c r="K34" i="20" s="1"/>
  <c r="H31" i="20"/>
  <c r="H35" i="20" s="1"/>
  <c r="H32" i="20"/>
  <c r="H36" i="20" s="1"/>
  <c r="F30" i="20"/>
  <c r="N30" i="20"/>
  <c r="N34" i="20" s="1"/>
  <c r="K31" i="20"/>
  <c r="K35" i="20" s="1"/>
  <c r="I32" i="20"/>
  <c r="I36" i="20" s="1"/>
  <c r="BW43" i="20"/>
  <c r="BW47" i="20" s="1"/>
  <c r="BS43" i="20"/>
  <c r="BS47" i="20" s="1"/>
  <c r="BO43" i="20"/>
  <c r="BO47" i="20" s="1"/>
  <c r="BK43" i="20"/>
  <c r="BK47" i="20" s="1"/>
  <c r="BG43" i="20"/>
  <c r="BG47" i="20" s="1"/>
  <c r="BC43" i="20"/>
  <c r="BC47" i="20" s="1"/>
  <c r="AY43" i="20"/>
  <c r="AY47" i="20" s="1"/>
  <c r="AU43" i="20"/>
  <c r="AU47" i="20" s="1"/>
  <c r="AQ43" i="20"/>
  <c r="AQ47" i="20" s="1"/>
  <c r="BT42" i="20"/>
  <c r="BT46" i="20" s="1"/>
  <c r="BP42" i="20"/>
  <c r="BP46" i="20" s="1"/>
  <c r="BL42" i="20"/>
  <c r="BL46" i="20" s="1"/>
  <c r="BH42" i="20"/>
  <c r="BH46" i="20" s="1"/>
  <c r="BD42" i="20"/>
  <c r="BD46" i="20" s="1"/>
  <c r="AZ42" i="20"/>
  <c r="AZ46" i="20" s="1"/>
  <c r="AV42" i="20"/>
  <c r="AV46" i="20" s="1"/>
  <c r="AR42" i="20"/>
  <c r="AR46" i="20" s="1"/>
  <c r="AN42" i="20"/>
  <c r="BU41" i="20"/>
  <c r="BU45" i="20" s="1"/>
  <c r="BQ41" i="20"/>
  <c r="BQ45" i="20" s="1"/>
  <c r="BM41" i="20"/>
  <c r="BM45" i="20" s="1"/>
  <c r="BI41" i="20"/>
  <c r="BI45" i="20" s="1"/>
  <c r="BE41" i="20"/>
  <c r="BE45" i="20" s="1"/>
  <c r="BA41" i="20"/>
  <c r="BA45" i="20" s="1"/>
  <c r="AW41" i="20"/>
  <c r="AW45" i="20" s="1"/>
  <c r="AS41" i="20"/>
  <c r="AS45" i="20" s="1"/>
  <c r="AO41" i="20"/>
  <c r="AO45" i="20" s="1"/>
  <c r="BV43" i="20"/>
  <c r="BV47" i="20" s="1"/>
  <c r="BR43" i="20"/>
  <c r="BR47" i="20" s="1"/>
  <c r="BN43" i="20"/>
  <c r="BN47" i="20" s="1"/>
  <c r="BJ43" i="20"/>
  <c r="BJ47" i="20" s="1"/>
  <c r="BF43" i="20"/>
  <c r="BF47" i="20" s="1"/>
  <c r="BB43" i="20"/>
  <c r="BB47" i="20" s="1"/>
  <c r="AX43" i="20"/>
  <c r="AX47" i="20" s="1"/>
  <c r="AT43" i="20"/>
  <c r="AT47" i="20" s="1"/>
  <c r="AP43" i="20"/>
  <c r="AP47" i="20" s="1"/>
  <c r="BW42" i="20"/>
  <c r="BW46" i="20" s="1"/>
  <c r="BS42" i="20"/>
  <c r="BS46" i="20" s="1"/>
  <c r="BO42" i="20"/>
  <c r="BO46" i="20" s="1"/>
  <c r="BK42" i="20"/>
  <c r="BK46" i="20" s="1"/>
  <c r="BG42" i="20"/>
  <c r="BG46" i="20" s="1"/>
  <c r="BC42" i="20"/>
  <c r="BC46" i="20" s="1"/>
  <c r="AY42" i="20"/>
  <c r="AY46" i="20" s="1"/>
  <c r="AU42" i="20"/>
  <c r="AU46" i="20" s="1"/>
  <c r="AQ42" i="20"/>
  <c r="AQ46" i="20" s="1"/>
  <c r="BT41" i="20"/>
  <c r="BT45" i="20" s="1"/>
  <c r="BP41" i="20"/>
  <c r="BP45" i="20" s="1"/>
  <c r="BL41" i="20"/>
  <c r="BL45" i="20" s="1"/>
  <c r="BH41" i="20"/>
  <c r="BH45" i="20" s="1"/>
  <c r="BD41" i="20"/>
  <c r="BD45" i="20" s="1"/>
  <c r="AZ41" i="20"/>
  <c r="AZ45" i="20" s="1"/>
  <c r="AV41" i="20"/>
  <c r="AV45" i="20" s="1"/>
  <c r="AR41" i="20"/>
  <c r="AR45" i="20" s="1"/>
  <c r="AN41" i="20"/>
  <c r="BN41" i="20"/>
  <c r="BN45" i="20" s="1"/>
  <c r="BQ42" i="20"/>
  <c r="BQ46" i="20" s="1"/>
  <c r="BD43" i="20"/>
  <c r="BD47" i="20" s="1"/>
  <c r="AX41" i="20"/>
  <c r="AX45" i="20" s="1"/>
  <c r="BV41" i="20"/>
  <c r="BV45" i="20" s="1"/>
  <c r="BA42" i="20"/>
  <c r="BA46" i="20" s="1"/>
  <c r="AN43" i="20"/>
  <c r="BL43" i="20"/>
  <c r="BL47" i="20" s="1"/>
  <c r="H30" i="20"/>
  <c r="H34" i="20" s="1"/>
  <c r="L30" i="20"/>
  <c r="L34" i="20" s="1"/>
  <c r="I31" i="20"/>
  <c r="I35" i="20" s="1"/>
  <c r="M31" i="20"/>
  <c r="M35" i="20" s="1"/>
  <c r="F32" i="20"/>
  <c r="J32" i="20"/>
  <c r="J36" i="20" s="1"/>
  <c r="N32" i="20"/>
  <c r="N36" i="20" s="1"/>
  <c r="AQ41" i="20"/>
  <c r="AQ45" i="20" s="1"/>
  <c r="AY41" i="20"/>
  <c r="AY45" i="20" s="1"/>
  <c r="BG41" i="20"/>
  <c r="BG45" i="20" s="1"/>
  <c r="BO41" i="20"/>
  <c r="BO45" i="20" s="1"/>
  <c r="BW41" i="20"/>
  <c r="BW45" i="20" s="1"/>
  <c r="AT42" i="20"/>
  <c r="AT46" i="20" s="1"/>
  <c r="BB42" i="20"/>
  <c r="BB46" i="20" s="1"/>
  <c r="BJ42" i="20"/>
  <c r="BJ46" i="20" s="1"/>
  <c r="BR42" i="20"/>
  <c r="BR46" i="20" s="1"/>
  <c r="AO43" i="20"/>
  <c r="AO47" i="20" s="1"/>
  <c r="AW43" i="20"/>
  <c r="AW47" i="20" s="1"/>
  <c r="BE43" i="20"/>
  <c r="BE47" i="20" s="1"/>
  <c r="BM43" i="20"/>
  <c r="BM47" i="20" s="1"/>
  <c r="BU43" i="20"/>
  <c r="BU47" i="20" s="1"/>
  <c r="AP41" i="20"/>
  <c r="AP45" i="20" s="1"/>
  <c r="BF41" i="20"/>
  <c r="BF45" i="20" s="1"/>
  <c r="AS42" i="20"/>
  <c r="AS46" i="20" s="1"/>
  <c r="BI42" i="20"/>
  <c r="BI46" i="20" s="1"/>
  <c r="AV43" i="20"/>
  <c r="AV47" i="20" s="1"/>
  <c r="BT43" i="20"/>
  <c r="BT47" i="20" s="1"/>
  <c r="I30" i="20"/>
  <c r="I34" i="20" s="1"/>
  <c r="M30" i="20"/>
  <c r="M34" i="20" s="1"/>
  <c r="F31" i="20"/>
  <c r="J31" i="20"/>
  <c r="J35" i="20" s="1"/>
  <c r="N31" i="20"/>
  <c r="N35" i="20" s="1"/>
  <c r="G32" i="20"/>
  <c r="G36" i="20" s="1"/>
  <c r="K32" i="20"/>
  <c r="K36" i="20" s="1"/>
  <c r="AT41" i="20"/>
  <c r="AT45" i="20" s="1"/>
  <c r="BB41" i="20"/>
  <c r="BB45" i="20" s="1"/>
  <c r="BJ41" i="20"/>
  <c r="BJ45" i="20" s="1"/>
  <c r="BR41" i="20"/>
  <c r="BR45" i="20" s="1"/>
  <c r="AO42" i="20"/>
  <c r="AO46" i="20" s="1"/>
  <c r="AW42" i="20"/>
  <c r="AW46" i="20" s="1"/>
  <c r="BE42" i="20"/>
  <c r="BE46" i="20" s="1"/>
  <c r="BM42" i="20"/>
  <c r="BM46" i="20" s="1"/>
  <c r="BU42" i="20"/>
  <c r="BU46" i="20" s="1"/>
  <c r="AR43" i="20"/>
  <c r="AR47" i="20" s="1"/>
  <c r="AZ43" i="20"/>
  <c r="AZ47" i="20" s="1"/>
  <c r="BH43" i="20"/>
  <c r="BH47" i="20" s="1"/>
  <c r="BP43" i="20"/>
  <c r="BP47" i="20" s="1"/>
  <c r="AU41" i="20"/>
  <c r="AU45" i="20" s="1"/>
  <c r="BC41" i="20"/>
  <c r="BC45" i="20" s="1"/>
  <c r="BK41" i="20"/>
  <c r="BK45" i="20" s="1"/>
  <c r="BS41" i="20"/>
  <c r="BS45" i="20" s="1"/>
  <c r="AP42" i="20"/>
  <c r="AP46" i="20" s="1"/>
  <c r="AX42" i="20"/>
  <c r="AX46" i="20" s="1"/>
  <c r="BF42" i="20"/>
  <c r="BF46" i="20" s="1"/>
  <c r="BN42" i="20"/>
  <c r="BN46" i="20" s="1"/>
  <c r="BV42" i="20"/>
  <c r="BV46" i="20" s="1"/>
  <c r="AS43" i="20"/>
  <c r="AS47" i="20" s="1"/>
  <c r="BA43" i="20"/>
  <c r="BA47" i="20" s="1"/>
  <c r="BI43" i="20"/>
  <c r="BI47" i="20" s="1"/>
  <c r="BQ43" i="20"/>
  <c r="BQ47" i="20" s="1"/>
  <c r="I93" i="19"/>
  <c r="AL27" i="19"/>
  <c r="AM27" i="19"/>
  <c r="AN27" i="19"/>
  <c r="AO27" i="19"/>
  <c r="AP27" i="19"/>
  <c r="AQ27" i="19"/>
  <c r="H27" i="19"/>
  <c r="I27" i="19"/>
  <c r="J27" i="19"/>
  <c r="K27" i="19"/>
  <c r="L27" i="19"/>
  <c r="M27" i="19"/>
  <c r="N27" i="19"/>
  <c r="O27" i="19"/>
  <c r="P27" i="19"/>
  <c r="Q27" i="19"/>
  <c r="R27" i="19"/>
  <c r="S27" i="19"/>
  <c r="T27" i="19"/>
  <c r="U27" i="19"/>
  <c r="V27" i="19"/>
  <c r="W27" i="19"/>
  <c r="X27" i="19"/>
  <c r="Y27" i="19"/>
  <c r="Z27" i="19"/>
  <c r="AA27" i="19"/>
  <c r="AB27" i="19"/>
  <c r="AC27" i="19"/>
  <c r="AD27" i="19"/>
  <c r="AE27" i="19"/>
  <c r="AF27" i="19"/>
  <c r="AG27" i="19"/>
  <c r="AH27" i="19"/>
  <c r="AI27" i="19"/>
  <c r="AJ27" i="19"/>
  <c r="AK27" i="19"/>
  <c r="G27" i="19"/>
  <c r="G45" i="19" s="1"/>
  <c r="F27" i="19"/>
  <c r="F45" i="19" s="1"/>
  <c r="G53" i="19"/>
  <c r="E34" i="19"/>
  <c r="G10" i="19"/>
  <c r="G9" i="19"/>
  <c r="D9" i="19"/>
  <c r="T33" i="19" s="1"/>
  <c r="G4" i="19"/>
  <c r="T152" i="18"/>
  <c r="E141" i="18"/>
  <c r="AT134" i="18"/>
  <c r="AS134" i="18"/>
  <c r="AR134" i="18"/>
  <c r="AQ134" i="18"/>
  <c r="AP134" i="18"/>
  <c r="AO134" i="18"/>
  <c r="AN134" i="18"/>
  <c r="AM134" i="18"/>
  <c r="AL134" i="18"/>
  <c r="AK134" i="18"/>
  <c r="AJ134" i="18"/>
  <c r="AI134" i="18"/>
  <c r="AH134" i="18"/>
  <c r="AG134" i="18"/>
  <c r="AF134" i="18"/>
  <c r="AE134" i="18"/>
  <c r="AD134" i="18"/>
  <c r="AC134" i="18"/>
  <c r="AB134" i="18"/>
  <c r="AA134" i="18"/>
  <c r="Z134" i="18"/>
  <c r="Y134" i="18"/>
  <c r="X134" i="18"/>
  <c r="W134" i="18"/>
  <c r="V134" i="18"/>
  <c r="U134" i="18"/>
  <c r="T134" i="18"/>
  <c r="S134" i="18"/>
  <c r="R134" i="18"/>
  <c r="Q134" i="18"/>
  <c r="P134" i="18"/>
  <c r="O134" i="18"/>
  <c r="N134" i="18"/>
  <c r="M134" i="18"/>
  <c r="L134" i="18"/>
  <c r="K134" i="18"/>
  <c r="J134" i="18"/>
  <c r="I134" i="18"/>
  <c r="H134" i="18"/>
  <c r="G134" i="18"/>
  <c r="F134" i="18"/>
  <c r="D127" i="18"/>
  <c r="X151" i="18" s="1"/>
  <c r="G118" i="18"/>
  <c r="G117" i="18"/>
  <c r="D117" i="18"/>
  <c r="I140" i="18" s="1"/>
  <c r="G112" i="18"/>
  <c r="AL76" i="18"/>
  <c r="AM76" i="18"/>
  <c r="AN76" i="18"/>
  <c r="AO76" i="18"/>
  <c r="AP76" i="18"/>
  <c r="AQ76" i="18"/>
  <c r="AR76" i="18"/>
  <c r="AS76" i="18"/>
  <c r="AT76" i="18"/>
  <c r="AU76" i="18"/>
  <c r="AV76" i="18"/>
  <c r="AW76" i="18"/>
  <c r="AX76" i="18"/>
  <c r="AY76" i="18"/>
  <c r="AZ76" i="18"/>
  <c r="BA76" i="18"/>
  <c r="AM94" i="23" l="1"/>
  <c r="G5" i="22"/>
  <c r="C41" i="3" s="1"/>
  <c r="G61" i="23"/>
  <c r="D43" i="3" s="1"/>
  <c r="AR95" i="23"/>
  <c r="G62" i="23" s="1"/>
  <c r="G43" i="3" s="1"/>
  <c r="AN94" i="23"/>
  <c r="AO94" i="23" s="1"/>
  <c r="AP94" i="23" s="1"/>
  <c r="AQ94" i="23" s="1"/>
  <c r="AR94" i="23" s="1"/>
  <c r="AS94" i="23" s="1"/>
  <c r="AT94" i="23" s="1"/>
  <c r="AU94" i="23" s="1"/>
  <c r="AV94" i="23" s="1"/>
  <c r="AW94" i="23" s="1"/>
  <c r="AX94" i="23" s="1"/>
  <c r="AY94" i="23" s="1"/>
  <c r="AZ94" i="23" s="1"/>
  <c r="BA94" i="23" s="1"/>
  <c r="BB94" i="23" s="1"/>
  <c r="BC94" i="23" s="1"/>
  <c r="BD94" i="23" s="1"/>
  <c r="BE94" i="23" s="1"/>
  <c r="BF94" i="23" s="1"/>
  <c r="BG94" i="23" s="1"/>
  <c r="BH94" i="23" s="1"/>
  <c r="BI94" i="23" s="1"/>
  <c r="BJ94" i="23" s="1"/>
  <c r="BK94" i="23" s="1"/>
  <c r="AL96" i="23"/>
  <c r="G55" i="23"/>
  <c r="C43" i="3" s="1"/>
  <c r="F84" i="23"/>
  <c r="G56" i="23" s="1"/>
  <c r="F43" i="3" s="1"/>
  <c r="F83" i="23"/>
  <c r="G83" i="23" s="1"/>
  <c r="H83" i="23" s="1"/>
  <c r="I83" i="23" s="1"/>
  <c r="J83" i="23" s="1"/>
  <c r="K83" i="23" s="1"/>
  <c r="L83" i="23" s="1"/>
  <c r="M83" i="23" s="1"/>
  <c r="N83" i="23" s="1"/>
  <c r="O83" i="23" s="1"/>
  <c r="P83" i="23" s="1"/>
  <c r="Q83" i="23" s="1"/>
  <c r="R83" i="23" s="1"/>
  <c r="S83" i="23" s="1"/>
  <c r="T83" i="23" s="1"/>
  <c r="U83" i="23" s="1"/>
  <c r="V83" i="23" s="1"/>
  <c r="W83" i="23" s="1"/>
  <c r="G11" i="23"/>
  <c r="D42" i="3" s="1"/>
  <c r="F34" i="23"/>
  <c r="G6" i="23" s="1"/>
  <c r="F42" i="3" s="1"/>
  <c r="G5" i="23"/>
  <c r="C42" i="3" s="1"/>
  <c r="F33" i="23"/>
  <c r="O44" i="22"/>
  <c r="P44" i="22" s="1"/>
  <c r="Q44" i="22" s="1"/>
  <c r="R44" i="22" s="1"/>
  <c r="S44" i="22" s="1"/>
  <c r="T44" i="22" s="1"/>
  <c r="U44" i="22" s="1"/>
  <c r="V44" i="22" s="1"/>
  <c r="W44" i="22" s="1"/>
  <c r="X44" i="22" s="1"/>
  <c r="Y44" i="22" s="1"/>
  <c r="Z44" i="22" s="1"/>
  <c r="AA44" i="22" s="1"/>
  <c r="AB44" i="22" s="1"/>
  <c r="AC44" i="22" s="1"/>
  <c r="AD44" i="22" s="1"/>
  <c r="AE44" i="22" s="1"/>
  <c r="AF44" i="22" s="1"/>
  <c r="AG44" i="22" s="1"/>
  <c r="AH44" i="22" s="1"/>
  <c r="G11" i="22"/>
  <c r="D41" i="3" s="1"/>
  <c r="G12" i="22"/>
  <c r="G41" i="3" s="1"/>
  <c r="G11" i="21"/>
  <c r="D40" i="3" s="1"/>
  <c r="AO46" i="21"/>
  <c r="AO47" i="21"/>
  <c r="G11" i="20"/>
  <c r="D39" i="3" s="1"/>
  <c r="AN47" i="20"/>
  <c r="AN45" i="20"/>
  <c r="G12" i="20" s="1"/>
  <c r="G39" i="3" s="1"/>
  <c r="AN46" i="20"/>
  <c r="G92" i="19"/>
  <c r="H92" i="19" s="1"/>
  <c r="I92" i="19" s="1"/>
  <c r="J92" i="19" s="1"/>
  <c r="K92" i="19" s="1"/>
  <c r="L92" i="19" s="1"/>
  <c r="M92" i="19" s="1"/>
  <c r="N92" i="19" s="1"/>
  <c r="O92" i="19" s="1"/>
  <c r="P92" i="19" s="1"/>
  <c r="Q92" i="19" s="1"/>
  <c r="R92" i="19" s="1"/>
  <c r="S92" i="19" s="1"/>
  <c r="T92" i="19" s="1"/>
  <c r="U92" i="19" s="1"/>
  <c r="V92" i="19" s="1"/>
  <c r="W92" i="19" s="1"/>
  <c r="F94" i="19"/>
  <c r="AA55" i="19"/>
  <c r="L138" i="18"/>
  <c r="H140" i="18"/>
  <c r="H138" i="18"/>
  <c r="J139" i="18"/>
  <c r="G12" i="21"/>
  <c r="G40" i="3" s="1"/>
  <c r="F34" i="20"/>
  <c r="G6" i="20" s="1"/>
  <c r="F39" i="3" s="1"/>
  <c r="G5" i="20"/>
  <c r="C39" i="3" s="1"/>
  <c r="O54" i="19"/>
  <c r="W56" i="19"/>
  <c r="L56" i="19"/>
  <c r="K55" i="19"/>
  <c r="O56" i="19"/>
  <c r="H111" i="19"/>
  <c r="I111" i="19" s="1"/>
  <c r="J111" i="19" s="1"/>
  <c r="K111" i="19" s="1"/>
  <c r="L111" i="19" s="1"/>
  <c r="M111" i="19" s="1"/>
  <c r="N111" i="19" s="1"/>
  <c r="O111" i="19" s="1"/>
  <c r="P111" i="19" s="1"/>
  <c r="Q111" i="19" s="1"/>
  <c r="R111" i="19" s="1"/>
  <c r="S111" i="19" s="1"/>
  <c r="T111" i="19" s="1"/>
  <c r="U111" i="19" s="1"/>
  <c r="V111" i="19" s="1"/>
  <c r="W111" i="19" s="1"/>
  <c r="X111" i="19" s="1"/>
  <c r="Y111" i="19" s="1"/>
  <c r="Z111" i="19" s="1"/>
  <c r="AA111" i="19" s="1"/>
  <c r="AB111" i="19" s="1"/>
  <c r="AC111" i="19" s="1"/>
  <c r="AD111" i="19" s="1"/>
  <c r="AE111" i="19" s="1"/>
  <c r="AF111" i="19" s="1"/>
  <c r="AG111" i="19" s="1"/>
  <c r="AH111" i="19" s="1"/>
  <c r="AI111" i="19" s="1"/>
  <c r="AJ111" i="19" s="1"/>
  <c r="AK111" i="19" s="1"/>
  <c r="AL111" i="19" s="1"/>
  <c r="AM111" i="19" s="1"/>
  <c r="AN111" i="19" s="1"/>
  <c r="AO111" i="19" s="1"/>
  <c r="AP111" i="19" s="1"/>
  <c r="AQ111" i="19" s="1"/>
  <c r="W54" i="19"/>
  <c r="AI55" i="19"/>
  <c r="S55" i="19"/>
  <c r="AE56" i="19"/>
  <c r="AC54" i="19"/>
  <c r="U54" i="19"/>
  <c r="M54" i="19"/>
  <c r="AO55" i="19"/>
  <c r="AG55" i="19"/>
  <c r="Y55" i="19"/>
  <c r="Q55" i="19"/>
  <c r="AC56" i="19"/>
  <c r="U56" i="19"/>
  <c r="M56" i="19"/>
  <c r="D108" i="19"/>
  <c r="G69" i="19" s="1"/>
  <c r="D38" i="3" s="1"/>
  <c r="D113" i="19"/>
  <c r="D112" i="19"/>
  <c r="G70" i="19" s="1"/>
  <c r="G38" i="3" s="1"/>
  <c r="AE54" i="19"/>
  <c r="AQ55" i="19"/>
  <c r="AQ54" i="19"/>
  <c r="AI54" i="19"/>
  <c r="AA54" i="19"/>
  <c r="S54" i="19"/>
  <c r="K54" i="19"/>
  <c r="AM55" i="19"/>
  <c r="AE55" i="19"/>
  <c r="W55" i="19"/>
  <c r="O55" i="19"/>
  <c r="AQ56" i="19"/>
  <c r="AI56" i="19"/>
  <c r="AA56" i="19"/>
  <c r="S56" i="19"/>
  <c r="K56" i="19"/>
  <c r="AM54" i="19"/>
  <c r="AM56" i="19"/>
  <c r="AO54" i="19"/>
  <c r="AG54" i="19"/>
  <c r="Q54" i="19"/>
  <c r="I54" i="19"/>
  <c r="AK55" i="19"/>
  <c r="AC55" i="19"/>
  <c r="U55" i="19"/>
  <c r="M55" i="19"/>
  <c r="AO56" i="19"/>
  <c r="Y56" i="19"/>
  <c r="Q56" i="19"/>
  <c r="I56" i="19"/>
  <c r="W31" i="19"/>
  <c r="W35" i="19" s="1"/>
  <c r="U31" i="19"/>
  <c r="U35" i="19" s="1"/>
  <c r="R33" i="19"/>
  <c r="R37" i="19" s="1"/>
  <c r="W32" i="19"/>
  <c r="W36" i="19" s="1"/>
  <c r="AP54" i="19"/>
  <c r="AL54" i="19"/>
  <c r="AH54" i="19"/>
  <c r="AD54" i="19"/>
  <c r="Z54" i="19"/>
  <c r="V54" i="19"/>
  <c r="R54" i="19"/>
  <c r="N54" i="19"/>
  <c r="J54" i="19"/>
  <c r="AP55" i="19"/>
  <c r="AL55" i="19"/>
  <c r="AH55" i="19"/>
  <c r="AD55" i="19"/>
  <c r="Z55" i="19"/>
  <c r="V55" i="19"/>
  <c r="R55" i="19"/>
  <c r="N55" i="19"/>
  <c r="J55" i="19"/>
  <c r="AP56" i="19"/>
  <c r="AL56" i="19"/>
  <c r="AH56" i="19"/>
  <c r="AD56" i="19"/>
  <c r="Z56" i="19"/>
  <c r="V56" i="19"/>
  <c r="R56" i="19"/>
  <c r="N56" i="19"/>
  <c r="J56" i="19"/>
  <c r="D109" i="19"/>
  <c r="D110" i="19"/>
  <c r="H114" i="19"/>
  <c r="D114" i="19" s="1"/>
  <c r="I33" i="19"/>
  <c r="I37" i="19" s="1"/>
  <c r="G63" i="19"/>
  <c r="C38" i="3" s="1"/>
  <c r="J31" i="19"/>
  <c r="H32" i="19"/>
  <c r="H36" i="19" s="1"/>
  <c r="AK54" i="19"/>
  <c r="Y54" i="19"/>
  <c r="I55" i="19"/>
  <c r="AK56" i="19"/>
  <c r="AG56" i="19"/>
  <c r="S32" i="19"/>
  <c r="S36" i="19" s="1"/>
  <c r="AN54" i="19"/>
  <c r="AJ54" i="19"/>
  <c r="AF54" i="19"/>
  <c r="AB54" i="19"/>
  <c r="X54" i="19"/>
  <c r="T54" i="19"/>
  <c r="P54" i="19"/>
  <c r="L54" i="19"/>
  <c r="H55" i="19"/>
  <c r="AN55" i="19"/>
  <c r="AJ55" i="19"/>
  <c r="AF55" i="19"/>
  <c r="AB55" i="19"/>
  <c r="X55" i="19"/>
  <c r="T55" i="19"/>
  <c r="P55" i="19"/>
  <c r="L55" i="19"/>
  <c r="H56" i="19"/>
  <c r="AN56" i="19"/>
  <c r="AJ56" i="19"/>
  <c r="AF56" i="19"/>
  <c r="AB56" i="19"/>
  <c r="X56" i="19"/>
  <c r="T56" i="19"/>
  <c r="P56" i="19"/>
  <c r="X155" i="18"/>
  <c r="R139" i="18"/>
  <c r="P140" i="18"/>
  <c r="P138" i="18"/>
  <c r="N139" i="18"/>
  <c r="L140" i="18"/>
  <c r="AS149" i="18"/>
  <c r="AS153" i="18" s="1"/>
  <c r="AK149" i="18"/>
  <c r="AK153" i="18" s="1"/>
  <c r="Y149" i="18"/>
  <c r="Y153" i="18" s="1"/>
  <c r="AQ150" i="18"/>
  <c r="AQ154" i="18" s="1"/>
  <c r="AI150" i="18"/>
  <c r="AI154" i="18" s="1"/>
  <c r="AA150" i="18"/>
  <c r="AA154" i="18" s="1"/>
  <c r="U155" i="18"/>
  <c r="AI151" i="18"/>
  <c r="AI155" i="18" s="1"/>
  <c r="AA151" i="18"/>
  <c r="AA155" i="18" s="1"/>
  <c r="S138" i="18"/>
  <c r="O138" i="18"/>
  <c r="K138" i="18"/>
  <c r="G138" i="18"/>
  <c r="Q139" i="18"/>
  <c r="M139" i="18"/>
  <c r="I139" i="18"/>
  <c r="S140" i="18"/>
  <c r="O140" i="18"/>
  <c r="K140" i="18"/>
  <c r="G140" i="18"/>
  <c r="AR149" i="18"/>
  <c r="AR153" i="18" s="1"/>
  <c r="AN149" i="18"/>
  <c r="AN153" i="18" s="1"/>
  <c r="AJ149" i="18"/>
  <c r="AJ153" i="18" s="1"/>
  <c r="AF149" i="18"/>
  <c r="AF153" i="18" s="1"/>
  <c r="AB149" i="18"/>
  <c r="AB153" i="18" s="1"/>
  <c r="X149" i="18"/>
  <c r="X153" i="18" s="1"/>
  <c r="AT150" i="18"/>
  <c r="AT154" i="18" s="1"/>
  <c r="AP150" i="18"/>
  <c r="AP154" i="18" s="1"/>
  <c r="AL150" i="18"/>
  <c r="AL154" i="18" s="1"/>
  <c r="AH150" i="18"/>
  <c r="AH154" i="18" s="1"/>
  <c r="AD150" i="18"/>
  <c r="AD154" i="18" s="1"/>
  <c r="Z150" i="18"/>
  <c r="Z154" i="18" s="1"/>
  <c r="V150" i="18"/>
  <c r="V154" i="18" s="1"/>
  <c r="AT151" i="18"/>
  <c r="AT155" i="18" s="1"/>
  <c r="AP151" i="18"/>
  <c r="AP155" i="18" s="1"/>
  <c r="AL151" i="18"/>
  <c r="AL155" i="18" s="1"/>
  <c r="AH151" i="18"/>
  <c r="AH155" i="18" s="1"/>
  <c r="AD151" i="18"/>
  <c r="AD155" i="18" s="1"/>
  <c r="Z151" i="18"/>
  <c r="Z155" i="18" s="1"/>
  <c r="V151" i="18"/>
  <c r="V155" i="18" s="1"/>
  <c r="AC149" i="18"/>
  <c r="AC153" i="18" s="1"/>
  <c r="R138" i="18"/>
  <c r="N138" i="18"/>
  <c r="J138" i="18"/>
  <c r="P139" i="18"/>
  <c r="L139" i="18"/>
  <c r="H139" i="18"/>
  <c r="R140" i="18"/>
  <c r="N140" i="18"/>
  <c r="J140" i="18"/>
  <c r="AQ149" i="18"/>
  <c r="AQ153" i="18" s="1"/>
  <c r="AM149" i="18"/>
  <c r="AM153" i="18" s="1"/>
  <c r="AI149" i="18"/>
  <c r="AI153" i="18" s="1"/>
  <c r="AE149" i="18"/>
  <c r="AE153" i="18" s="1"/>
  <c r="AA149" i="18"/>
  <c r="AA153" i="18" s="1"/>
  <c r="W149" i="18"/>
  <c r="W153" i="18" s="1"/>
  <c r="AS150" i="18"/>
  <c r="AS154" i="18" s="1"/>
  <c r="AO150" i="18"/>
  <c r="AO154" i="18" s="1"/>
  <c r="AK150" i="18"/>
  <c r="AK154" i="18" s="1"/>
  <c r="AG150" i="18"/>
  <c r="AG154" i="18" s="1"/>
  <c r="AC150" i="18"/>
  <c r="AC154" i="18" s="1"/>
  <c r="Y150" i="18"/>
  <c r="Y154" i="18" s="1"/>
  <c r="AS151" i="18"/>
  <c r="AS155" i="18" s="1"/>
  <c r="AO151" i="18"/>
  <c r="AO155" i="18" s="1"/>
  <c r="AK151" i="18"/>
  <c r="AK155" i="18" s="1"/>
  <c r="AG151" i="18"/>
  <c r="AG155" i="18" s="1"/>
  <c r="AC151" i="18"/>
  <c r="AC155" i="18" s="1"/>
  <c r="Y151" i="18"/>
  <c r="Y155" i="18" s="1"/>
  <c r="AO149" i="18"/>
  <c r="AO153" i="18" s="1"/>
  <c r="AG149" i="18"/>
  <c r="AG153" i="18" s="1"/>
  <c r="U152" i="18"/>
  <c r="AM150" i="18"/>
  <c r="AM154" i="18" s="1"/>
  <c r="AE150" i="18"/>
  <c r="AE154" i="18" s="1"/>
  <c r="W150" i="18"/>
  <c r="W154" i="18" s="1"/>
  <c r="AQ151" i="18"/>
  <c r="AQ155" i="18" s="1"/>
  <c r="AM151" i="18"/>
  <c r="AM155" i="18" s="1"/>
  <c r="AE151" i="18"/>
  <c r="AE155" i="18" s="1"/>
  <c r="W151" i="18"/>
  <c r="W155" i="18" s="1"/>
  <c r="Q138" i="18"/>
  <c r="M138" i="18"/>
  <c r="I138" i="18"/>
  <c r="S139" i="18"/>
  <c r="O139" i="18"/>
  <c r="K139" i="18"/>
  <c r="G139" i="18"/>
  <c r="Q140" i="18"/>
  <c r="M140" i="18"/>
  <c r="AT149" i="18"/>
  <c r="AT153" i="18" s="1"/>
  <c r="AP149" i="18"/>
  <c r="AP153" i="18" s="1"/>
  <c r="AL149" i="18"/>
  <c r="AL153" i="18" s="1"/>
  <c r="AH149" i="18"/>
  <c r="AH153" i="18" s="1"/>
  <c r="AD149" i="18"/>
  <c r="AD153" i="18" s="1"/>
  <c r="Z149" i="18"/>
  <c r="Z153" i="18" s="1"/>
  <c r="V149" i="18"/>
  <c r="V153" i="18" s="1"/>
  <c r="AR150" i="18"/>
  <c r="AR154" i="18" s="1"/>
  <c r="AN150" i="18"/>
  <c r="AN154" i="18" s="1"/>
  <c r="AJ150" i="18"/>
  <c r="AJ154" i="18" s="1"/>
  <c r="AF150" i="18"/>
  <c r="AF154" i="18" s="1"/>
  <c r="AB150" i="18"/>
  <c r="AB154" i="18" s="1"/>
  <c r="X150" i="18"/>
  <c r="X154" i="18" s="1"/>
  <c r="AR151" i="18"/>
  <c r="AR155" i="18" s="1"/>
  <c r="AN151" i="18"/>
  <c r="AN155" i="18" s="1"/>
  <c r="AJ151" i="18"/>
  <c r="AJ155" i="18" s="1"/>
  <c r="AF151" i="18"/>
  <c r="AF155" i="18" s="1"/>
  <c r="AB151" i="18"/>
  <c r="AB155" i="18" s="1"/>
  <c r="G33" i="23"/>
  <c r="H33" i="23" s="1"/>
  <c r="I33" i="23" s="1"/>
  <c r="J33" i="23" s="1"/>
  <c r="K33" i="23" s="1"/>
  <c r="L33" i="23" s="1"/>
  <c r="M33" i="23" s="1"/>
  <c r="N33" i="23" s="1"/>
  <c r="O33" i="23" s="1"/>
  <c r="P33" i="23" s="1"/>
  <c r="Q33" i="23" s="1"/>
  <c r="R33" i="23" s="1"/>
  <c r="S33" i="23" s="1"/>
  <c r="T33" i="23" s="1"/>
  <c r="U33" i="23" s="1"/>
  <c r="V33" i="23" s="1"/>
  <c r="W33" i="23" s="1"/>
  <c r="X33" i="23" s="1"/>
  <c r="Y33" i="23" s="1"/>
  <c r="Z33" i="23" s="1"/>
  <c r="AA33" i="23" s="1"/>
  <c r="G12" i="23"/>
  <c r="G42" i="3" s="1"/>
  <c r="AL44" i="23"/>
  <c r="AM44" i="23" s="1"/>
  <c r="AN44" i="23" s="1"/>
  <c r="AO44" i="23" s="1"/>
  <c r="AP44" i="23" s="1"/>
  <c r="AQ44" i="23" s="1"/>
  <c r="AR44" i="23" s="1"/>
  <c r="AS44" i="23" s="1"/>
  <c r="AT44" i="23" s="1"/>
  <c r="AU44" i="23" s="1"/>
  <c r="AV44" i="23" s="1"/>
  <c r="AW44" i="23" s="1"/>
  <c r="AX44" i="23" s="1"/>
  <c r="AY44" i="23" s="1"/>
  <c r="AZ44" i="23" s="1"/>
  <c r="BA44" i="23" s="1"/>
  <c r="BB44" i="23" s="1"/>
  <c r="BC44" i="23" s="1"/>
  <c r="BD44" i="23" s="1"/>
  <c r="BE44" i="23" s="1"/>
  <c r="BF44" i="23" s="1"/>
  <c r="BG44" i="23" s="1"/>
  <c r="BH44" i="23" s="1"/>
  <c r="BI44" i="23" s="1"/>
  <c r="BJ44" i="23" s="1"/>
  <c r="BK44" i="23" s="1"/>
  <c r="F35" i="23"/>
  <c r="F36" i="23"/>
  <c r="F35" i="22"/>
  <c r="F34" i="22"/>
  <c r="G6" i="22" s="1"/>
  <c r="F41" i="3" s="1"/>
  <c r="O47" i="22"/>
  <c r="G33" i="22"/>
  <c r="H33" i="22" s="1"/>
  <c r="I33" i="22" s="1"/>
  <c r="J33" i="22" s="1"/>
  <c r="K33" i="22" s="1"/>
  <c r="L33" i="22" s="1"/>
  <c r="M33" i="22" s="1"/>
  <c r="N33" i="22" s="1"/>
  <c r="G36" i="22"/>
  <c r="F36" i="21"/>
  <c r="G5" i="21"/>
  <c r="C40" i="3" s="1"/>
  <c r="F33" i="21"/>
  <c r="G33" i="21" s="1"/>
  <c r="H33" i="21" s="1"/>
  <c r="I33" i="21" s="1"/>
  <c r="J33" i="21" s="1"/>
  <c r="K33" i="21" s="1"/>
  <c r="L33" i="21" s="1"/>
  <c r="M33" i="21" s="1"/>
  <c r="N33" i="21" s="1"/>
  <c r="O33" i="21" s="1"/>
  <c r="P33" i="21" s="1"/>
  <c r="Q33" i="21" s="1"/>
  <c r="R33" i="21" s="1"/>
  <c r="S33" i="21" s="1"/>
  <c r="T33" i="21" s="1"/>
  <c r="U33" i="21" s="1"/>
  <c r="V33" i="21" s="1"/>
  <c r="W33" i="21" s="1"/>
  <c r="X33" i="21" s="1"/>
  <c r="Y33" i="21" s="1"/>
  <c r="Z33" i="21" s="1"/>
  <c r="AA33" i="21" s="1"/>
  <c r="AB33" i="21" s="1"/>
  <c r="AC33" i="21" s="1"/>
  <c r="AD33" i="21" s="1"/>
  <c r="AE33" i="21" s="1"/>
  <c r="F34" i="21"/>
  <c r="F35" i="21"/>
  <c r="AO44" i="21"/>
  <c r="AP44" i="21" s="1"/>
  <c r="AQ44" i="21" s="1"/>
  <c r="AR44" i="21" s="1"/>
  <c r="AS44" i="21" s="1"/>
  <c r="AT44" i="21" s="1"/>
  <c r="AU44" i="21" s="1"/>
  <c r="AV44" i="21" s="1"/>
  <c r="AW44" i="21" s="1"/>
  <c r="AX44" i="21" s="1"/>
  <c r="AY44" i="21" s="1"/>
  <c r="AZ44" i="21" s="1"/>
  <c r="BA44" i="21" s="1"/>
  <c r="BB44" i="21" s="1"/>
  <c r="BC44" i="21" s="1"/>
  <c r="BD44" i="21" s="1"/>
  <c r="BE44" i="21" s="1"/>
  <c r="BF44" i="21" s="1"/>
  <c r="BG44" i="21" s="1"/>
  <c r="BH44" i="21" s="1"/>
  <c r="BI44" i="21" s="1"/>
  <c r="BJ44" i="21" s="1"/>
  <c r="BK44" i="21" s="1"/>
  <c r="BL44" i="21" s="1"/>
  <c r="BM44" i="21" s="1"/>
  <c r="BN44" i="21" s="1"/>
  <c r="AN44" i="20"/>
  <c r="AO44" i="20" s="1"/>
  <c r="AP44" i="20" s="1"/>
  <c r="AQ44" i="20" s="1"/>
  <c r="AR44" i="20" s="1"/>
  <c r="AS44" i="20" s="1"/>
  <c r="AT44" i="20" s="1"/>
  <c r="AU44" i="20" s="1"/>
  <c r="AV44" i="20" s="1"/>
  <c r="AW44" i="20" s="1"/>
  <c r="AX44" i="20" s="1"/>
  <c r="AY44" i="20" s="1"/>
  <c r="AZ44" i="20" s="1"/>
  <c r="BA44" i="20" s="1"/>
  <c r="BB44" i="20" s="1"/>
  <c r="BC44" i="20" s="1"/>
  <c r="BD44" i="20" s="1"/>
  <c r="BE44" i="20" s="1"/>
  <c r="BF44" i="20" s="1"/>
  <c r="BG44" i="20" s="1"/>
  <c r="BH44" i="20" s="1"/>
  <c r="BI44" i="20" s="1"/>
  <c r="BJ44" i="20" s="1"/>
  <c r="BK44" i="20" s="1"/>
  <c r="BL44" i="20" s="1"/>
  <c r="BM44" i="20" s="1"/>
  <c r="BN44" i="20" s="1"/>
  <c r="BO44" i="20" s="1"/>
  <c r="BP44" i="20" s="1"/>
  <c r="BQ44" i="20" s="1"/>
  <c r="BR44" i="20" s="1"/>
  <c r="BS44" i="20" s="1"/>
  <c r="BT44" i="20" s="1"/>
  <c r="BU44" i="20" s="1"/>
  <c r="BV44" i="20" s="1"/>
  <c r="BW44" i="20" s="1"/>
  <c r="BX44" i="20" s="1"/>
  <c r="BY44" i="20" s="1"/>
  <c r="BZ44" i="20" s="1"/>
  <c r="CA44" i="20" s="1"/>
  <c r="CB44" i="20" s="1"/>
  <c r="CC44" i="20" s="1"/>
  <c r="CD44" i="20" s="1"/>
  <c r="CE44" i="20" s="1"/>
  <c r="CF44" i="20" s="1"/>
  <c r="CG44" i="20" s="1"/>
  <c r="CH44" i="20" s="1"/>
  <c r="CI44" i="20" s="1"/>
  <c r="CJ44" i="20" s="1"/>
  <c r="CK44" i="20" s="1"/>
  <c r="CL44" i="20" s="1"/>
  <c r="CM44" i="20" s="1"/>
  <c r="CN44" i="20" s="1"/>
  <c r="CO44" i="20" s="1"/>
  <c r="CP44" i="20" s="1"/>
  <c r="CQ44" i="20" s="1"/>
  <c r="CR44" i="20" s="1"/>
  <c r="CS44" i="20" s="1"/>
  <c r="CT44" i="20" s="1"/>
  <c r="CU44" i="20" s="1"/>
  <c r="CV44" i="20" s="1"/>
  <c r="CW44" i="20" s="1"/>
  <c r="CX44" i="20" s="1"/>
  <c r="CY44" i="20" s="1"/>
  <c r="CZ44" i="20" s="1"/>
  <c r="DA44" i="20" s="1"/>
  <c r="DB44" i="20" s="1"/>
  <c r="DC44" i="20" s="1"/>
  <c r="F35" i="20"/>
  <c r="F36" i="20"/>
  <c r="F33" i="20"/>
  <c r="G33" i="20" s="1"/>
  <c r="H33" i="20" s="1"/>
  <c r="I33" i="20" s="1"/>
  <c r="J33" i="20" s="1"/>
  <c r="K33" i="20" s="1"/>
  <c r="L33" i="20" s="1"/>
  <c r="M33" i="20" s="1"/>
  <c r="N33" i="20" s="1"/>
  <c r="G64" i="19"/>
  <c r="F38" i="3" s="1"/>
  <c r="M31" i="19"/>
  <c r="K32" i="19"/>
  <c r="K36" i="19" s="1"/>
  <c r="J33" i="19"/>
  <c r="J37" i="19" s="1"/>
  <c r="R31" i="19"/>
  <c r="R35" i="19" s="1"/>
  <c r="P32" i="19"/>
  <c r="P36" i="19" s="1"/>
  <c r="Q33" i="19"/>
  <c r="Q37" i="19" s="1"/>
  <c r="W33" i="19"/>
  <c r="W37" i="19" s="1"/>
  <c r="T37" i="19"/>
  <c r="J35" i="19"/>
  <c r="M35" i="19"/>
  <c r="F31" i="19"/>
  <c r="N31" i="19"/>
  <c r="N35" i="19" s="1"/>
  <c r="V31" i="19"/>
  <c r="V35" i="19" s="1"/>
  <c r="L32" i="19"/>
  <c r="L36" i="19" s="1"/>
  <c r="T32" i="19"/>
  <c r="T36" i="19" s="1"/>
  <c r="M33" i="19"/>
  <c r="M37" i="19" s="1"/>
  <c r="U33" i="19"/>
  <c r="U37" i="19" s="1"/>
  <c r="I31" i="19"/>
  <c r="I35" i="19" s="1"/>
  <c r="Q31" i="19"/>
  <c r="Q35" i="19" s="1"/>
  <c r="G32" i="19"/>
  <c r="G36" i="19" s="1"/>
  <c r="O32" i="19"/>
  <c r="O36" i="19" s="1"/>
  <c r="F33" i="19"/>
  <c r="N33" i="19"/>
  <c r="N37" i="19" s="1"/>
  <c r="V33" i="19"/>
  <c r="V37" i="19" s="1"/>
  <c r="G31" i="19"/>
  <c r="K31" i="19"/>
  <c r="K35" i="19" s="1"/>
  <c r="O31" i="19"/>
  <c r="O35" i="19" s="1"/>
  <c r="S31" i="19"/>
  <c r="S35" i="19" s="1"/>
  <c r="I32" i="19"/>
  <c r="I36" i="19" s="1"/>
  <c r="M32" i="19"/>
  <c r="M36" i="19" s="1"/>
  <c r="Q32" i="19"/>
  <c r="Q36" i="19" s="1"/>
  <c r="U32" i="19"/>
  <c r="U36" i="19" s="1"/>
  <c r="G33" i="19"/>
  <c r="K33" i="19"/>
  <c r="K37" i="19" s="1"/>
  <c r="O33" i="19"/>
  <c r="O37" i="19" s="1"/>
  <c r="S33" i="19"/>
  <c r="S37" i="19" s="1"/>
  <c r="H31" i="19"/>
  <c r="H35" i="19" s="1"/>
  <c r="L31" i="19"/>
  <c r="L35" i="19" s="1"/>
  <c r="P31" i="19"/>
  <c r="P35" i="19" s="1"/>
  <c r="T31" i="19"/>
  <c r="T35" i="19" s="1"/>
  <c r="F32" i="19"/>
  <c r="J32" i="19"/>
  <c r="J36" i="19" s="1"/>
  <c r="N32" i="19"/>
  <c r="N36" i="19" s="1"/>
  <c r="R32" i="19"/>
  <c r="R36" i="19" s="1"/>
  <c r="V32" i="19"/>
  <c r="V36" i="19" s="1"/>
  <c r="H33" i="19"/>
  <c r="H37" i="19" s="1"/>
  <c r="L33" i="19"/>
  <c r="L37" i="19" s="1"/>
  <c r="P33" i="19"/>
  <c r="P37" i="19" s="1"/>
  <c r="E83" i="18"/>
  <c r="F83" i="18" s="1"/>
  <c r="AK76" i="18"/>
  <c r="AJ76" i="18"/>
  <c r="AI76" i="18"/>
  <c r="AH76" i="18"/>
  <c r="AG76" i="18"/>
  <c r="AF76" i="18"/>
  <c r="AE76" i="18"/>
  <c r="AD76" i="18"/>
  <c r="AC76" i="18"/>
  <c r="AB76" i="18"/>
  <c r="AA76" i="18"/>
  <c r="Z76" i="18"/>
  <c r="Y76" i="18"/>
  <c r="X76" i="18"/>
  <c r="W76" i="18"/>
  <c r="V76" i="18"/>
  <c r="U76" i="18"/>
  <c r="T76" i="18"/>
  <c r="S76" i="18"/>
  <c r="R76" i="18"/>
  <c r="Q76" i="18"/>
  <c r="P76" i="18"/>
  <c r="O76" i="18"/>
  <c r="N76" i="18"/>
  <c r="M76" i="18"/>
  <c r="L76" i="18"/>
  <c r="K76" i="18"/>
  <c r="J76" i="18"/>
  <c r="I76" i="18"/>
  <c r="H76" i="18"/>
  <c r="G76" i="18"/>
  <c r="F76" i="18"/>
  <c r="G53" i="18"/>
  <c r="E43" i="3" l="1"/>
  <c r="E42" i="3"/>
  <c r="E41" i="3"/>
  <c r="E38" i="3"/>
  <c r="E39" i="3"/>
  <c r="E40" i="3"/>
  <c r="H43" i="3"/>
  <c r="H42" i="3"/>
  <c r="H41" i="3"/>
  <c r="H39" i="3"/>
  <c r="H38" i="3"/>
  <c r="H53" i="19"/>
  <c r="I53" i="19" s="1"/>
  <c r="J53" i="19" s="1"/>
  <c r="K53" i="19" s="1"/>
  <c r="L53" i="19" s="1"/>
  <c r="M53" i="19" s="1"/>
  <c r="N53" i="19" s="1"/>
  <c r="O53" i="19" s="1"/>
  <c r="P53" i="19" s="1"/>
  <c r="Q53" i="19" s="1"/>
  <c r="R53" i="19" s="1"/>
  <c r="S53" i="19" s="1"/>
  <c r="T53" i="19" s="1"/>
  <c r="U53" i="19" s="1"/>
  <c r="V53" i="19" s="1"/>
  <c r="W53" i="19" s="1"/>
  <c r="X53" i="19" s="1"/>
  <c r="Y53" i="19" s="1"/>
  <c r="Z53" i="19" s="1"/>
  <c r="AA53" i="19" s="1"/>
  <c r="AB53" i="19" s="1"/>
  <c r="AC53" i="19" s="1"/>
  <c r="AD53" i="19" s="1"/>
  <c r="AE53" i="19" s="1"/>
  <c r="AF53" i="19" s="1"/>
  <c r="AG53" i="19" s="1"/>
  <c r="AH53" i="19" s="1"/>
  <c r="AI53" i="19" s="1"/>
  <c r="AJ53" i="19" s="1"/>
  <c r="AK53" i="19" s="1"/>
  <c r="AL53" i="19" s="1"/>
  <c r="AM53" i="19" s="1"/>
  <c r="AN53" i="19" s="1"/>
  <c r="AO53" i="19" s="1"/>
  <c r="AP53" i="19" s="1"/>
  <c r="AQ53" i="19" s="1"/>
  <c r="I91" i="18"/>
  <c r="I94" i="18" s="1"/>
  <c r="M91" i="18"/>
  <c r="M94" i="18" s="1"/>
  <c r="Q91" i="18"/>
  <c r="Q94" i="18" s="1"/>
  <c r="U91" i="18"/>
  <c r="U94" i="18" s="1"/>
  <c r="J91" i="18"/>
  <c r="J94" i="18" s="1"/>
  <c r="N91" i="18"/>
  <c r="N94" i="18" s="1"/>
  <c r="R91" i="18"/>
  <c r="R94" i="18" s="1"/>
  <c r="V91" i="18"/>
  <c r="V94" i="18" s="1"/>
  <c r="H91" i="18"/>
  <c r="H94" i="18" s="1"/>
  <c r="L91" i="18"/>
  <c r="L94" i="18" s="1"/>
  <c r="P91" i="18"/>
  <c r="P94" i="18" s="1"/>
  <c r="G91" i="18"/>
  <c r="G94" i="18" s="1"/>
  <c r="K91" i="18"/>
  <c r="K94" i="18" s="1"/>
  <c r="O91" i="18"/>
  <c r="O94" i="18" s="1"/>
  <c r="S91" i="18"/>
  <c r="S94" i="18" s="1"/>
  <c r="W91" i="18"/>
  <c r="W94" i="18" s="1"/>
  <c r="T91" i="18"/>
  <c r="T94" i="18" s="1"/>
  <c r="G5" i="19"/>
  <c r="C37" i="3" s="1"/>
  <c r="H54" i="19"/>
  <c r="G12" i="19" s="1"/>
  <c r="G37" i="3" s="1"/>
  <c r="D50" i="19"/>
  <c r="G11" i="19" s="1"/>
  <c r="D37" i="3" s="1"/>
  <c r="V152" i="18"/>
  <c r="W152" i="18" s="1"/>
  <c r="X152" i="18" s="1"/>
  <c r="Y152" i="18" s="1"/>
  <c r="Z152" i="18" s="1"/>
  <c r="AA152" i="18" s="1"/>
  <c r="AB152" i="18" s="1"/>
  <c r="AC152" i="18" s="1"/>
  <c r="AD152" i="18" s="1"/>
  <c r="AE152" i="18" s="1"/>
  <c r="AF152" i="18" s="1"/>
  <c r="AG152" i="18" s="1"/>
  <c r="AH152" i="18" s="1"/>
  <c r="AI152" i="18" s="1"/>
  <c r="AJ152" i="18" s="1"/>
  <c r="AK152" i="18" s="1"/>
  <c r="AL152" i="18" s="1"/>
  <c r="AM152" i="18" s="1"/>
  <c r="AN152" i="18" s="1"/>
  <c r="AO152" i="18" s="1"/>
  <c r="AP152" i="18" s="1"/>
  <c r="AQ152" i="18" s="1"/>
  <c r="AR152" i="18" s="1"/>
  <c r="AS152" i="18" s="1"/>
  <c r="AT152" i="18" s="1"/>
  <c r="U154" i="18"/>
  <c r="U153" i="18"/>
  <c r="G120" i="18" s="1"/>
  <c r="G36" i="3" s="1"/>
  <c r="G119" i="18"/>
  <c r="D36" i="3" s="1"/>
  <c r="G6" i="21"/>
  <c r="F40" i="3" s="1"/>
  <c r="H40" i="3" s="1"/>
  <c r="F37" i="19"/>
  <c r="F35" i="19"/>
  <c r="F36" i="19"/>
  <c r="F34" i="19"/>
  <c r="G34" i="19" s="1"/>
  <c r="H34" i="19" s="1"/>
  <c r="I34" i="19" s="1"/>
  <c r="J34" i="19" s="1"/>
  <c r="K34" i="19" s="1"/>
  <c r="L34" i="19" s="1"/>
  <c r="M34" i="19" s="1"/>
  <c r="N34" i="19" s="1"/>
  <c r="O34" i="19" s="1"/>
  <c r="P34" i="19" s="1"/>
  <c r="Q34" i="19" s="1"/>
  <c r="R34" i="19" s="1"/>
  <c r="S34" i="19" s="1"/>
  <c r="T34" i="19" s="1"/>
  <c r="U34" i="19" s="1"/>
  <c r="V34" i="19" s="1"/>
  <c r="W34" i="19" s="1"/>
  <c r="G37" i="19"/>
  <c r="G35" i="19"/>
  <c r="P144" i="18"/>
  <c r="L144" i="18"/>
  <c r="H144" i="18"/>
  <c r="S143" i="18"/>
  <c r="O143" i="18"/>
  <c r="K143" i="18"/>
  <c r="G143" i="18"/>
  <c r="Q142" i="18"/>
  <c r="M142" i="18"/>
  <c r="I142" i="18"/>
  <c r="S144" i="18"/>
  <c r="O144" i="18"/>
  <c r="K144" i="18"/>
  <c r="G144" i="18"/>
  <c r="R143" i="18"/>
  <c r="N143" i="18"/>
  <c r="J143" i="18"/>
  <c r="P142" i="18"/>
  <c r="L142" i="18"/>
  <c r="H142" i="18"/>
  <c r="H82" i="18"/>
  <c r="L82" i="18"/>
  <c r="P82" i="18"/>
  <c r="T82" i="18"/>
  <c r="J81" i="18"/>
  <c r="N81" i="18"/>
  <c r="R81" i="18"/>
  <c r="V81" i="18"/>
  <c r="G80" i="18"/>
  <c r="K80" i="18"/>
  <c r="R144" i="18"/>
  <c r="N144" i="18"/>
  <c r="J144" i="18"/>
  <c r="Q143" i="18"/>
  <c r="M143" i="18"/>
  <c r="I143" i="18"/>
  <c r="S142" i="18"/>
  <c r="O142" i="18"/>
  <c r="K142" i="18"/>
  <c r="G142" i="18"/>
  <c r="I82" i="18"/>
  <c r="M82" i="18"/>
  <c r="Q82" i="18"/>
  <c r="U82" i="18"/>
  <c r="G81" i="18"/>
  <c r="K81" i="18"/>
  <c r="O81" i="18"/>
  <c r="S81" i="18"/>
  <c r="W81" i="18"/>
  <c r="W85" i="18" s="1"/>
  <c r="H80" i="18"/>
  <c r="L80" i="18"/>
  <c r="M144" i="18"/>
  <c r="P143" i="18"/>
  <c r="R142" i="18"/>
  <c r="K82" i="18"/>
  <c r="S82" i="18"/>
  <c r="I81" i="18"/>
  <c r="Q81" i="18"/>
  <c r="W80" i="18"/>
  <c r="W84" i="18" s="1"/>
  <c r="N80" i="18"/>
  <c r="R80" i="18"/>
  <c r="V80" i="18"/>
  <c r="O82" i="18"/>
  <c r="M81" i="18"/>
  <c r="P80" i="18"/>
  <c r="I144" i="18"/>
  <c r="L143" i="18"/>
  <c r="N142" i="18"/>
  <c r="N82" i="18"/>
  <c r="V82" i="18"/>
  <c r="L81" i="18"/>
  <c r="T81" i="18"/>
  <c r="I80" i="18"/>
  <c r="O80" i="18"/>
  <c r="S80" i="18"/>
  <c r="H143" i="18"/>
  <c r="J142" i="18"/>
  <c r="W82" i="18"/>
  <c r="W86" i="18" s="1"/>
  <c r="J80" i="18"/>
  <c r="T80" i="18"/>
  <c r="M80" i="18"/>
  <c r="G82" i="18"/>
  <c r="U81" i="18"/>
  <c r="R82" i="18"/>
  <c r="P81" i="18"/>
  <c r="Q80" i="18"/>
  <c r="Q144" i="18"/>
  <c r="J82" i="18"/>
  <c r="H81" i="18"/>
  <c r="U80" i="18"/>
  <c r="O44" i="18"/>
  <c r="E33"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G10" i="18"/>
  <c r="G9" i="18"/>
  <c r="G4" i="18"/>
  <c r="E37" i="3" l="1"/>
  <c r="P45" i="18"/>
  <c r="P47" i="18"/>
  <c r="P46" i="18"/>
  <c r="G6" i="19"/>
  <c r="F37" i="3" s="1"/>
  <c r="H37" i="3" s="1"/>
  <c r="F94" i="18"/>
  <c r="D35" i="3"/>
  <c r="F142" i="18"/>
  <c r="G114" i="18" s="1"/>
  <c r="F36" i="3" s="1"/>
  <c r="H36" i="3" s="1"/>
  <c r="G113" i="18"/>
  <c r="C36" i="3" s="1"/>
  <c r="E36" i="3" s="1"/>
  <c r="F144" i="18"/>
  <c r="F143" i="18"/>
  <c r="F141" i="18"/>
  <c r="G141" i="18" s="1"/>
  <c r="H141" i="18" s="1"/>
  <c r="I141" i="18" s="1"/>
  <c r="J141" i="18" s="1"/>
  <c r="K141" i="18" s="1"/>
  <c r="L141" i="18" s="1"/>
  <c r="M141" i="18" s="1"/>
  <c r="N141" i="18" s="1"/>
  <c r="O141" i="18" s="1"/>
  <c r="P141" i="18" s="1"/>
  <c r="Q141" i="18" s="1"/>
  <c r="R141" i="18" s="1"/>
  <c r="S141" i="18" s="1"/>
  <c r="AC43" i="18"/>
  <c r="AC47" i="18" s="1"/>
  <c r="V32" i="18"/>
  <c r="V36" i="18" s="1"/>
  <c r="U86" i="18"/>
  <c r="Q86" i="18"/>
  <c r="M86" i="18"/>
  <c r="I86" i="18"/>
  <c r="V85" i="18"/>
  <c r="R85" i="18"/>
  <c r="N85" i="18"/>
  <c r="J85" i="18"/>
  <c r="S84" i="18"/>
  <c r="O84" i="18"/>
  <c r="K84" i="18"/>
  <c r="G84" i="18"/>
  <c r="P85" i="18"/>
  <c r="U84" i="18"/>
  <c r="M84" i="18"/>
  <c r="R86" i="18"/>
  <c r="O85" i="18"/>
  <c r="T84" i="18"/>
  <c r="H84" i="18"/>
  <c r="T86" i="18"/>
  <c r="P86" i="18"/>
  <c r="L86" i="18"/>
  <c r="H86" i="18"/>
  <c r="U85" i="18"/>
  <c r="Q85" i="18"/>
  <c r="M85" i="18"/>
  <c r="I85" i="18"/>
  <c r="V84" i="18"/>
  <c r="R84" i="18"/>
  <c r="N84" i="18"/>
  <c r="J84" i="18"/>
  <c r="S86" i="18"/>
  <c r="K86" i="18"/>
  <c r="G86" i="18"/>
  <c r="T85" i="18"/>
  <c r="H85" i="18"/>
  <c r="Q84" i="18"/>
  <c r="N86" i="18"/>
  <c r="S85" i="18"/>
  <c r="K85" i="18"/>
  <c r="P84" i="18"/>
  <c r="O86" i="18"/>
  <c r="L85" i="18"/>
  <c r="I84" i="18"/>
  <c r="V86" i="18"/>
  <c r="J86" i="18"/>
  <c r="G85" i="18"/>
  <c r="L84" i="18"/>
  <c r="K30" i="18"/>
  <c r="K34" i="18" s="1"/>
  <c r="P30" i="18"/>
  <c r="P34" i="18" s="1"/>
  <c r="U30" i="18"/>
  <c r="U34" i="18" s="1"/>
  <c r="J31" i="18"/>
  <c r="J35" i="18" s="1"/>
  <c r="O31" i="18"/>
  <c r="O35" i="18" s="1"/>
  <c r="U31" i="18"/>
  <c r="U35" i="18" s="1"/>
  <c r="I32" i="18"/>
  <c r="I36" i="18" s="1"/>
  <c r="O32" i="18"/>
  <c r="O36" i="18" s="1"/>
  <c r="T32" i="18"/>
  <c r="T36" i="18" s="1"/>
  <c r="G30" i="18"/>
  <c r="G34" i="18" s="1"/>
  <c r="L30" i="18"/>
  <c r="L34" i="18" s="1"/>
  <c r="Q30" i="18"/>
  <c r="Q34" i="18" s="1"/>
  <c r="F35" i="18"/>
  <c r="K31" i="18"/>
  <c r="K35" i="18" s="1"/>
  <c r="Q31" i="18"/>
  <c r="Q35" i="18" s="1"/>
  <c r="V31" i="18"/>
  <c r="V35" i="18" s="1"/>
  <c r="K32" i="18"/>
  <c r="K36" i="18" s="1"/>
  <c r="P32" i="18"/>
  <c r="P36" i="18" s="1"/>
  <c r="U32" i="18"/>
  <c r="U36" i="18" s="1"/>
  <c r="H30" i="18"/>
  <c r="H34" i="18" s="1"/>
  <c r="M30" i="18"/>
  <c r="M34" i="18" s="1"/>
  <c r="S30" i="18"/>
  <c r="S34" i="18" s="1"/>
  <c r="G31" i="18"/>
  <c r="G35" i="18" s="1"/>
  <c r="M31" i="18"/>
  <c r="M35" i="18" s="1"/>
  <c r="R31" i="18"/>
  <c r="R35" i="18" s="1"/>
  <c r="G32" i="18"/>
  <c r="G36" i="18" s="1"/>
  <c r="L32" i="18"/>
  <c r="L36" i="18" s="1"/>
  <c r="Q32" i="18"/>
  <c r="Q36" i="18" s="1"/>
  <c r="I30" i="18"/>
  <c r="I34" i="18" s="1"/>
  <c r="O30" i="18"/>
  <c r="O34" i="18" s="1"/>
  <c r="T30" i="18"/>
  <c r="T34" i="18" s="1"/>
  <c r="I31" i="18"/>
  <c r="I35" i="18" s="1"/>
  <c r="N31" i="18"/>
  <c r="N35" i="18" s="1"/>
  <c r="S31" i="18"/>
  <c r="S35" i="18" s="1"/>
  <c r="H32" i="18"/>
  <c r="H36" i="18" s="1"/>
  <c r="M32" i="18"/>
  <c r="M36" i="18" s="1"/>
  <c r="S32" i="18"/>
  <c r="S36" i="18" s="1"/>
  <c r="AI43" i="18"/>
  <c r="AI47" i="18" s="1"/>
  <c r="AE43" i="18"/>
  <c r="AE47" i="18" s="1"/>
  <c r="AA43" i="18"/>
  <c r="AA47" i="18" s="1"/>
  <c r="W43" i="18"/>
  <c r="W47" i="18" s="1"/>
  <c r="S43" i="18"/>
  <c r="S47" i="18" s="1"/>
  <c r="AF42" i="18"/>
  <c r="AF46" i="18" s="1"/>
  <c r="AB42" i="18"/>
  <c r="AB46" i="18" s="1"/>
  <c r="X42" i="18"/>
  <c r="X46" i="18" s="1"/>
  <c r="T42" i="18"/>
  <c r="T46" i="18" s="1"/>
  <c r="AG41" i="18"/>
  <c r="AG45" i="18" s="1"/>
  <c r="AC41" i="18"/>
  <c r="AC45" i="18" s="1"/>
  <c r="Y41" i="18"/>
  <c r="Y45" i="18" s="1"/>
  <c r="U41" i="18"/>
  <c r="U45" i="18" s="1"/>
  <c r="Q41" i="18"/>
  <c r="Q45" i="18" s="1"/>
  <c r="AH43" i="18"/>
  <c r="AH47" i="18" s="1"/>
  <c r="AD43" i="18"/>
  <c r="AD47" i="18" s="1"/>
  <c r="Z43" i="18"/>
  <c r="Z47" i="18" s="1"/>
  <c r="V43" i="18"/>
  <c r="V47" i="18" s="1"/>
  <c r="R43" i="18"/>
  <c r="R47" i="18" s="1"/>
  <c r="AI42" i="18"/>
  <c r="AI46" i="18" s="1"/>
  <c r="AE42" i="18"/>
  <c r="AE46" i="18" s="1"/>
  <c r="AA42" i="18"/>
  <c r="AA46" i="18" s="1"/>
  <c r="W42" i="18"/>
  <c r="W46" i="18" s="1"/>
  <c r="S42" i="18"/>
  <c r="S46" i="18" s="1"/>
  <c r="AF41" i="18"/>
  <c r="AF45" i="18" s="1"/>
  <c r="AB41" i="18"/>
  <c r="AB45" i="18" s="1"/>
  <c r="X41" i="18"/>
  <c r="X45" i="18" s="1"/>
  <c r="T41" i="18"/>
  <c r="T45" i="18" s="1"/>
  <c r="AF43" i="18"/>
  <c r="AF47" i="18" s="1"/>
  <c r="AB43" i="18"/>
  <c r="AB47" i="18" s="1"/>
  <c r="X43" i="18"/>
  <c r="X47" i="18" s="1"/>
  <c r="T43" i="18"/>
  <c r="T47" i="18" s="1"/>
  <c r="AG42" i="18"/>
  <c r="AG46" i="18" s="1"/>
  <c r="AC42" i="18"/>
  <c r="AC46" i="18" s="1"/>
  <c r="Y42" i="18"/>
  <c r="Y46" i="18" s="1"/>
  <c r="U42" i="18"/>
  <c r="U46" i="18" s="1"/>
  <c r="Q42" i="18"/>
  <c r="Q46" i="18" s="1"/>
  <c r="AH41" i="18"/>
  <c r="AH45" i="18" s="1"/>
  <c r="AD41" i="18"/>
  <c r="AD45" i="18" s="1"/>
  <c r="Z41" i="18"/>
  <c r="Z45" i="18" s="1"/>
  <c r="V41" i="18"/>
  <c r="V45" i="18" s="1"/>
  <c r="R41" i="18"/>
  <c r="R45" i="18" s="1"/>
  <c r="Y43" i="18"/>
  <c r="Y47" i="18" s="1"/>
  <c r="AD42" i="18"/>
  <c r="AD46" i="18" s="1"/>
  <c r="AI41" i="18"/>
  <c r="AI45" i="18" s="1"/>
  <c r="S41" i="18"/>
  <c r="S45" i="18" s="1"/>
  <c r="AG43" i="18"/>
  <c r="AG47" i="18" s="1"/>
  <c r="Q43" i="18"/>
  <c r="Q47" i="18" s="1"/>
  <c r="V42" i="18"/>
  <c r="V46" i="18" s="1"/>
  <c r="AA41" i="18"/>
  <c r="AA45" i="18" s="1"/>
  <c r="U43" i="18"/>
  <c r="U47" i="18" s="1"/>
  <c r="Z42" i="18"/>
  <c r="Z46" i="18" s="1"/>
  <c r="AE41" i="18"/>
  <c r="AE45" i="18" s="1"/>
  <c r="R42" i="18"/>
  <c r="R46" i="18" s="1"/>
  <c r="AH42" i="18"/>
  <c r="AH46" i="18" s="1"/>
  <c r="W41" i="18"/>
  <c r="W45" i="18" s="1"/>
  <c r="J30" i="18"/>
  <c r="J34" i="18" s="1"/>
  <c r="N30" i="18"/>
  <c r="N34" i="18" s="1"/>
  <c r="R30" i="18"/>
  <c r="R34" i="18" s="1"/>
  <c r="V30" i="18"/>
  <c r="V34" i="18" s="1"/>
  <c r="H31" i="18"/>
  <c r="L31" i="18"/>
  <c r="L35" i="18" s="1"/>
  <c r="P31" i="18"/>
  <c r="P35" i="18" s="1"/>
  <c r="T31" i="18"/>
  <c r="T35" i="18" s="1"/>
  <c r="J32" i="18"/>
  <c r="J36" i="18" s="1"/>
  <c r="N32" i="18"/>
  <c r="N36" i="18" s="1"/>
  <c r="R32" i="18"/>
  <c r="R36" i="18" s="1"/>
  <c r="F33" i="18" l="1"/>
  <c r="G33" i="18" s="1"/>
  <c r="H33" i="18" s="1"/>
  <c r="I33" i="18" s="1"/>
  <c r="J33" i="18" s="1"/>
  <c r="K33" i="18" s="1"/>
  <c r="L33" i="18" s="1"/>
  <c r="M33" i="18" s="1"/>
  <c r="N33" i="18" s="1"/>
  <c r="O33" i="18" s="1"/>
  <c r="P33" i="18" s="1"/>
  <c r="Q33" i="18" s="1"/>
  <c r="R33" i="18" s="1"/>
  <c r="S33" i="18" s="1"/>
  <c r="T33" i="18" s="1"/>
  <c r="U33" i="18" s="1"/>
  <c r="V33" i="18" s="1"/>
  <c r="G35" i="3"/>
  <c r="F84" i="18"/>
  <c r="C35" i="3"/>
  <c r="E35" i="3" s="1"/>
  <c r="F86" i="18"/>
  <c r="F85" i="18"/>
  <c r="G83" i="18"/>
  <c r="H83" i="18" s="1"/>
  <c r="I83" i="18" s="1"/>
  <c r="J83" i="18" s="1"/>
  <c r="K83" i="18" s="1"/>
  <c r="L83" i="18" s="1"/>
  <c r="M83" i="18" s="1"/>
  <c r="N83" i="18" s="1"/>
  <c r="O83" i="18" s="1"/>
  <c r="P83" i="18" s="1"/>
  <c r="Q83" i="18" s="1"/>
  <c r="R83" i="18" s="1"/>
  <c r="S83" i="18" s="1"/>
  <c r="T83" i="18" s="1"/>
  <c r="U83" i="18" s="1"/>
  <c r="V83" i="18" s="1"/>
  <c r="W83" i="18" s="1"/>
  <c r="AE102" i="18"/>
  <c r="AF102" i="18" s="1"/>
  <c r="AG102" i="18" s="1"/>
  <c r="AH102" i="18" s="1"/>
  <c r="AI102" i="18" s="1"/>
  <c r="AJ102" i="18" s="1"/>
  <c r="AK102" i="18" s="1"/>
  <c r="AL102" i="18" s="1"/>
  <c r="AM102" i="18" s="1"/>
  <c r="AN102" i="18" s="1"/>
  <c r="AO102" i="18" s="1"/>
  <c r="AP102" i="18" s="1"/>
  <c r="AQ102" i="18" s="1"/>
  <c r="AR102" i="18" s="1"/>
  <c r="AS102" i="18" s="1"/>
  <c r="AT102" i="18" s="1"/>
  <c r="AU102" i="18" s="1"/>
  <c r="AV102" i="18" s="1"/>
  <c r="AW102" i="18" s="1"/>
  <c r="AX102" i="18" s="1"/>
  <c r="AY102" i="18" s="1"/>
  <c r="AZ102" i="18" s="1"/>
  <c r="BA102" i="18" s="1"/>
  <c r="BB102" i="18" s="1"/>
  <c r="BC102" i="18" s="1"/>
  <c r="G11" i="18"/>
  <c r="D34" i="3" s="1"/>
  <c r="G34" i="3"/>
  <c r="P44" i="18"/>
  <c r="Q44" i="18" s="1"/>
  <c r="R44" i="18" s="1"/>
  <c r="S44" i="18" s="1"/>
  <c r="T44" i="18" s="1"/>
  <c r="U44" i="18" s="1"/>
  <c r="V44" i="18" s="1"/>
  <c r="W44" i="18" s="1"/>
  <c r="X44" i="18" s="1"/>
  <c r="Y44" i="18" s="1"/>
  <c r="Z44" i="18" s="1"/>
  <c r="AA44" i="18" s="1"/>
  <c r="AB44" i="18" s="1"/>
  <c r="AC44" i="18" s="1"/>
  <c r="AD44" i="18" s="1"/>
  <c r="AE44" i="18" s="1"/>
  <c r="AF44" i="18" s="1"/>
  <c r="AG44" i="18" s="1"/>
  <c r="AH44" i="18" s="1"/>
  <c r="AI44" i="18" s="1"/>
  <c r="F36" i="18"/>
  <c r="H35" i="18"/>
  <c r="F34" i="18"/>
  <c r="G6" i="18" s="1"/>
  <c r="F34" i="3" s="1"/>
  <c r="G5" i="18"/>
  <c r="C34" i="3" s="1"/>
  <c r="E34" i="3" l="1"/>
  <c r="H34" i="3"/>
  <c r="F35" i="3"/>
  <c r="D23" i="16"/>
  <c r="D18" i="16"/>
  <c r="G19" i="16" s="1"/>
  <c r="D17" i="16"/>
  <c r="D13" i="16"/>
  <c r="G7" i="16" s="1"/>
  <c r="D10" i="16"/>
  <c r="D9" i="16"/>
  <c r="D8" i="16"/>
  <c r="D7" i="16"/>
  <c r="G12" i="16"/>
  <c r="D23" i="15"/>
  <c r="D18" i="15"/>
  <c r="G19" i="15" s="1"/>
  <c r="K33" i="30" s="1"/>
  <c r="D17" i="15"/>
  <c r="D13" i="15"/>
  <c r="G7" i="15" s="1"/>
  <c r="D10" i="15"/>
  <c r="D9" i="15"/>
  <c r="F28" i="15" s="1"/>
  <c r="D8" i="15"/>
  <c r="D7" i="15"/>
  <c r="D23" i="2"/>
  <c r="D18" i="2"/>
  <c r="G19" i="2" s="1"/>
  <c r="D17" i="2"/>
  <c r="D13" i="2"/>
  <c r="D10" i="2"/>
  <c r="D9" i="2"/>
  <c r="D8" i="2"/>
  <c r="F19" i="2" s="1"/>
  <c r="J32" i="30" s="1"/>
  <c r="D7" i="2"/>
  <c r="B19" i="3"/>
  <c r="D23" i="14"/>
  <c r="E56" i="14" s="1"/>
  <c r="D20" i="14"/>
  <c r="D19" i="14"/>
  <c r="D18" i="14"/>
  <c r="D17" i="14"/>
  <c r="D13" i="14"/>
  <c r="G7" i="14" s="1"/>
  <c r="D10" i="14"/>
  <c r="D9" i="14"/>
  <c r="F28" i="14" s="1"/>
  <c r="D8" i="14"/>
  <c r="D7" i="14"/>
  <c r="D51" i="14"/>
  <c r="D42" i="14"/>
  <c r="D41" i="14"/>
  <c r="D40" i="14"/>
  <c r="F19" i="16" l="1"/>
  <c r="J34" i="30" s="1"/>
  <c r="J35" i="30"/>
  <c r="F19" i="15"/>
  <c r="J33" i="30" s="1"/>
  <c r="L33" i="30" s="1"/>
  <c r="K32" i="30"/>
  <c r="L32" i="30"/>
  <c r="G13" i="15"/>
  <c r="G13" i="16"/>
  <c r="K34" i="30"/>
  <c r="L34" i="30" s="1"/>
  <c r="H35" i="3"/>
  <c r="D12" i="16"/>
  <c r="P33" i="16" s="1"/>
  <c r="F28" i="16"/>
  <c r="F29" i="16" s="1"/>
  <c r="D22" i="16"/>
  <c r="AI46" i="16" s="1"/>
  <c r="F29" i="15"/>
  <c r="I19" i="3"/>
  <c r="J19" i="3"/>
  <c r="D12" i="14"/>
  <c r="X35" i="14" s="1"/>
  <c r="B28" i="3"/>
  <c r="E47" i="16"/>
  <c r="H35" i="16"/>
  <c r="E36" i="16"/>
  <c r="M35" i="16"/>
  <c r="M34" i="16"/>
  <c r="D22" i="15"/>
  <c r="D12" i="15"/>
  <c r="K35" i="15" s="1"/>
  <c r="G28" i="15"/>
  <c r="G29" i="15" s="1"/>
  <c r="E36" i="15"/>
  <c r="E47" i="15"/>
  <c r="G12" i="15"/>
  <c r="H46" i="14"/>
  <c r="T44" i="14"/>
  <c r="P44" i="14"/>
  <c r="H44" i="14"/>
  <c r="P45" i="14"/>
  <c r="H45" i="14"/>
  <c r="R46" i="14"/>
  <c r="J46" i="14"/>
  <c r="O44" i="14"/>
  <c r="G44" i="14"/>
  <c r="O45" i="14"/>
  <c r="G45" i="14"/>
  <c r="M46" i="14"/>
  <c r="I46" i="14"/>
  <c r="R44" i="14"/>
  <c r="N44" i="14"/>
  <c r="J44" i="14"/>
  <c r="F45" i="14"/>
  <c r="R45" i="14"/>
  <c r="N45" i="14"/>
  <c r="J45" i="14"/>
  <c r="T46" i="14"/>
  <c r="P46" i="14"/>
  <c r="L46" i="14"/>
  <c r="L44" i="14"/>
  <c r="T45" i="14"/>
  <c r="L45" i="14"/>
  <c r="N46" i="14"/>
  <c r="S44" i="14"/>
  <c r="K44" i="14"/>
  <c r="S45" i="14"/>
  <c r="K45" i="14"/>
  <c r="Q46" i="14"/>
  <c r="F44" i="14"/>
  <c r="Q44" i="14"/>
  <c r="M44" i="14"/>
  <c r="I44" i="14"/>
  <c r="F46" i="14"/>
  <c r="Q45" i="14"/>
  <c r="M45" i="14"/>
  <c r="I45" i="14"/>
  <c r="S46" i="14"/>
  <c r="O46" i="14"/>
  <c r="K46" i="14"/>
  <c r="G46" i="14"/>
  <c r="U33" i="14"/>
  <c r="AB33" i="14"/>
  <c r="AA34" i="14"/>
  <c r="Z34" i="14"/>
  <c r="AC35" i="14"/>
  <c r="T33" i="14"/>
  <c r="V35" i="14"/>
  <c r="Z33" i="14"/>
  <c r="AC34" i="14"/>
  <c r="G13" i="14"/>
  <c r="D22" i="14"/>
  <c r="AX53" i="14" s="1"/>
  <c r="G12" i="14"/>
  <c r="E47" i="14"/>
  <c r="E36" i="14"/>
  <c r="G28" i="14"/>
  <c r="G29" i="14" s="1"/>
  <c r="N34" i="14"/>
  <c r="I35" i="14"/>
  <c r="H34" i="14"/>
  <c r="Q33" i="14"/>
  <c r="M34" i="14"/>
  <c r="I34" i="14"/>
  <c r="O34" i="14"/>
  <c r="J35" i="14"/>
  <c r="K34" i="14"/>
  <c r="F35" i="14"/>
  <c r="B6" i="3"/>
  <c r="B7" i="3"/>
  <c r="B8" i="3"/>
  <c r="B9" i="3"/>
  <c r="B10" i="3"/>
  <c r="B11" i="3"/>
  <c r="B12" i="3"/>
  <c r="B5" i="3"/>
  <c r="D20" i="13"/>
  <c r="D19" i="13"/>
  <c r="D18" i="13"/>
  <c r="D17" i="13"/>
  <c r="D13" i="13"/>
  <c r="G12" i="13" s="1"/>
  <c r="D10" i="13"/>
  <c r="D9" i="13"/>
  <c r="D8" i="13"/>
  <c r="D7" i="13"/>
  <c r="D60" i="13"/>
  <c r="D51" i="13"/>
  <c r="D42" i="13"/>
  <c r="D41" i="13"/>
  <c r="D40" i="13"/>
  <c r="G7" i="13"/>
  <c r="D20" i="12"/>
  <c r="D19" i="12"/>
  <c r="D18" i="12"/>
  <c r="D17" i="12"/>
  <c r="D13" i="12"/>
  <c r="G7" i="12" s="1"/>
  <c r="D10" i="12"/>
  <c r="D9" i="12"/>
  <c r="D8" i="12"/>
  <c r="D7" i="12"/>
  <c r="D60" i="12"/>
  <c r="D51" i="12"/>
  <c r="D42" i="12"/>
  <c r="D41" i="12"/>
  <c r="D40" i="12"/>
  <c r="D20" i="11"/>
  <c r="G19" i="11" s="1"/>
  <c r="D19" i="11"/>
  <c r="D18" i="11"/>
  <c r="D17" i="11"/>
  <c r="D13" i="11"/>
  <c r="G12" i="11" s="1"/>
  <c r="D10" i="11"/>
  <c r="D9" i="11"/>
  <c r="D8" i="11"/>
  <c r="D7" i="11"/>
  <c r="D60" i="11"/>
  <c r="D51" i="11"/>
  <c r="D42" i="11"/>
  <c r="D41" i="11"/>
  <c r="D40" i="11"/>
  <c r="D20" i="10"/>
  <c r="D19" i="10"/>
  <c r="D18" i="10"/>
  <c r="D17" i="10"/>
  <c r="D13" i="10"/>
  <c r="G7" i="10" s="1"/>
  <c r="D10" i="10"/>
  <c r="D9" i="10"/>
  <c r="D8" i="10"/>
  <c r="D7" i="10"/>
  <c r="D60" i="10"/>
  <c r="D51" i="10"/>
  <c r="D42" i="10"/>
  <c r="D41" i="10"/>
  <c r="D40" i="10"/>
  <c r="F28" i="10"/>
  <c r="D8" i="9"/>
  <c r="D20" i="9"/>
  <c r="D19" i="9"/>
  <c r="D18" i="9"/>
  <c r="D17" i="9"/>
  <c r="D13" i="9"/>
  <c r="G7" i="9" s="1"/>
  <c r="D10" i="9"/>
  <c r="D9" i="9"/>
  <c r="F28" i="9" s="1"/>
  <c r="D7" i="9"/>
  <c r="D60" i="9"/>
  <c r="D51" i="9"/>
  <c r="D42" i="9"/>
  <c r="D41" i="9"/>
  <c r="D40" i="9"/>
  <c r="G28" i="16" l="1"/>
  <c r="G29" i="16" s="1"/>
  <c r="K34" i="16"/>
  <c r="H34" i="16"/>
  <c r="O33" i="16"/>
  <c r="K35" i="30"/>
  <c r="L35" i="30" s="1"/>
  <c r="AK45" i="16"/>
  <c r="AK46" i="16"/>
  <c r="L35" i="16"/>
  <c r="G34" i="16"/>
  <c r="J34" i="16"/>
  <c r="G35" i="16"/>
  <c r="K35" i="16"/>
  <c r="O35" i="16"/>
  <c r="I33" i="16"/>
  <c r="J35" i="16"/>
  <c r="L34" i="16"/>
  <c r="D34" i="16" s="1"/>
  <c r="I34" i="16"/>
  <c r="Q35" i="16"/>
  <c r="N34" i="16"/>
  <c r="P35" i="16"/>
  <c r="L33" i="16"/>
  <c r="F34" i="16"/>
  <c r="M33" i="16"/>
  <c r="F33" i="16"/>
  <c r="F37" i="16" s="1"/>
  <c r="Q34" i="16"/>
  <c r="N33" i="16"/>
  <c r="P34" i="16"/>
  <c r="H33" i="16"/>
  <c r="F35" i="16"/>
  <c r="I35" i="16"/>
  <c r="G33" i="16"/>
  <c r="K33" i="16"/>
  <c r="J33" i="16"/>
  <c r="Q33" i="16"/>
  <c r="N35" i="16"/>
  <c r="O34" i="16"/>
  <c r="AJ46" i="16"/>
  <c r="AH46" i="16"/>
  <c r="AG44" i="16"/>
  <c r="AH45" i="16"/>
  <c r="AG45" i="16"/>
  <c r="AG46" i="16"/>
  <c r="AF44" i="16"/>
  <c r="AJ45" i="16"/>
  <c r="H28" i="14"/>
  <c r="H29" i="14" s="1"/>
  <c r="F50" i="14"/>
  <c r="F48" i="14"/>
  <c r="F49" i="14"/>
  <c r="BG44" i="15"/>
  <c r="F33" i="15"/>
  <c r="M35" i="14"/>
  <c r="AK44" i="16"/>
  <c r="AL45" i="16"/>
  <c r="AH44" i="16"/>
  <c r="AL46" i="16"/>
  <c r="AI45" i="16"/>
  <c r="AI44" i="16"/>
  <c r="AJ44" i="16"/>
  <c r="AF45" i="16"/>
  <c r="AF47" i="16" s="1"/>
  <c r="E47" i="11"/>
  <c r="L35" i="14"/>
  <c r="G35" i="14"/>
  <c r="R33" i="14"/>
  <c r="AC33" i="14"/>
  <c r="U35" i="14"/>
  <c r="W35" i="14"/>
  <c r="J34" i="14"/>
  <c r="F33" i="14"/>
  <c r="P35" i="14"/>
  <c r="K35" i="14"/>
  <c r="V33" i="14"/>
  <c r="S35" i="14"/>
  <c r="T34" i="14"/>
  <c r="AB34" i="14"/>
  <c r="AF46" i="16"/>
  <c r="AL44" i="16"/>
  <c r="AM45" i="16"/>
  <c r="AM44" i="16"/>
  <c r="AM46" i="16"/>
  <c r="G7" i="11"/>
  <c r="L35" i="15"/>
  <c r="BF44" i="15"/>
  <c r="J33" i="15"/>
  <c r="J10" i="3"/>
  <c r="N35" i="14"/>
  <c r="H33" i="14"/>
  <c r="G33" i="14"/>
  <c r="G37" i="14" s="1"/>
  <c r="L33" i="14"/>
  <c r="N33" i="14"/>
  <c r="H35" i="14"/>
  <c r="M33" i="14"/>
  <c r="P34" i="14"/>
  <c r="Q35" i="14"/>
  <c r="K33" i="14"/>
  <c r="Y34" i="14"/>
  <c r="S34" i="14"/>
  <c r="X33" i="14"/>
  <c r="Y33" i="14"/>
  <c r="Y35" i="14"/>
  <c r="AA33" i="14"/>
  <c r="Z35" i="14"/>
  <c r="U34" i="14"/>
  <c r="AA35" i="14"/>
  <c r="BL44" i="15"/>
  <c r="M34" i="15"/>
  <c r="M33" i="15"/>
  <c r="G33" i="15"/>
  <c r="G12" i="9"/>
  <c r="P33" i="14"/>
  <c r="O33" i="14"/>
  <c r="G34" i="14"/>
  <c r="G38" i="14" s="1"/>
  <c r="J33" i="14"/>
  <c r="Q34" i="14"/>
  <c r="I33" i="14"/>
  <c r="L34" i="14"/>
  <c r="O35" i="14"/>
  <c r="F34" i="14"/>
  <c r="F36" i="14" s="1"/>
  <c r="AB35" i="14"/>
  <c r="T35" i="14"/>
  <c r="W34" i="14"/>
  <c r="X34" i="14"/>
  <c r="V34" i="14"/>
  <c r="W33" i="14"/>
  <c r="S33" i="14"/>
  <c r="R35" i="14"/>
  <c r="R34" i="14"/>
  <c r="BH44" i="15"/>
  <c r="I34" i="15"/>
  <c r="F34" i="15"/>
  <c r="F36" i="15" s="1"/>
  <c r="I26" i="3"/>
  <c r="J27" i="3"/>
  <c r="J26" i="3"/>
  <c r="D12" i="10"/>
  <c r="V35" i="10" s="1"/>
  <c r="I27" i="3"/>
  <c r="J25" i="3"/>
  <c r="BM44" i="15"/>
  <c r="L33" i="15"/>
  <c r="I25" i="3"/>
  <c r="D22" i="13"/>
  <c r="D23" i="13" s="1"/>
  <c r="K34" i="15"/>
  <c r="J9" i="3"/>
  <c r="G12" i="12"/>
  <c r="J11" i="3"/>
  <c r="J8" i="3"/>
  <c r="E47" i="10"/>
  <c r="D22" i="12"/>
  <c r="D23" i="12" s="1"/>
  <c r="J12" i="3"/>
  <c r="F29" i="9"/>
  <c r="F29" i="10"/>
  <c r="K19" i="3"/>
  <c r="I10" i="3"/>
  <c r="I11" i="3"/>
  <c r="I8" i="3"/>
  <c r="I12" i="3"/>
  <c r="I9" i="3"/>
  <c r="AS54" i="14"/>
  <c r="AR55" i="14"/>
  <c r="AP53" i="14"/>
  <c r="BK45" i="15"/>
  <c r="BE46" i="15"/>
  <c r="BN45" i="15"/>
  <c r="BI46" i="15"/>
  <c r="BP46" i="15"/>
  <c r="BO46" i="15"/>
  <c r="BI54" i="14"/>
  <c r="BH55" i="14"/>
  <c r="BF53" i="14"/>
  <c r="BK44" i="15"/>
  <c r="BP44" i="15"/>
  <c r="BJ44" i="15"/>
  <c r="I35" i="15"/>
  <c r="BL45" i="15"/>
  <c r="BN46" i="15"/>
  <c r="BE44" i="15"/>
  <c r="BJ45" i="15"/>
  <c r="BL46" i="15"/>
  <c r="BK46" i="15"/>
  <c r="D12" i="12"/>
  <c r="Y35" i="12" s="1"/>
  <c r="B13" i="3"/>
  <c r="AT55" i="14"/>
  <c r="AR53" i="14"/>
  <c r="AQ54" i="14"/>
  <c r="BO44" i="15"/>
  <c r="BI44" i="15"/>
  <c r="BN44" i="15"/>
  <c r="BF46" i="15"/>
  <c r="BE45" i="15"/>
  <c r="BG45" i="15"/>
  <c r="BF45" i="15"/>
  <c r="BM45" i="15"/>
  <c r="BH46" i="15"/>
  <c r="BG46" i="15"/>
  <c r="AC54" i="14"/>
  <c r="BH53" i="14"/>
  <c r="BG54" i="14"/>
  <c r="BJ46" i="15"/>
  <c r="BO45" i="15"/>
  <c r="BP45" i="15"/>
  <c r="BM46" i="15"/>
  <c r="BI45" i="15"/>
  <c r="BH45" i="15"/>
  <c r="F38" i="16"/>
  <c r="H28" i="16"/>
  <c r="H29" i="16" s="1"/>
  <c r="F36" i="16"/>
  <c r="G36" i="16" s="1"/>
  <c r="F39" i="16"/>
  <c r="J34" i="15"/>
  <c r="H33" i="15"/>
  <c r="F35" i="15"/>
  <c r="F39" i="15" s="1"/>
  <c r="H34" i="15"/>
  <c r="J35" i="15"/>
  <c r="L34" i="15"/>
  <c r="H35" i="15"/>
  <c r="K33" i="15"/>
  <c r="M35" i="15"/>
  <c r="G34" i="15"/>
  <c r="I33" i="15"/>
  <c r="G35" i="15"/>
  <c r="G39" i="15" s="1"/>
  <c r="F37" i="15"/>
  <c r="H28" i="15"/>
  <c r="H29" i="15" s="1"/>
  <c r="AX55" i="14"/>
  <c r="AW54" i="14"/>
  <c r="AV53" i="14"/>
  <c r="AV55" i="14"/>
  <c r="AU54" i="14"/>
  <c r="AB54" i="14"/>
  <c r="E47" i="9"/>
  <c r="AL55" i="14"/>
  <c r="BB55" i="14"/>
  <c r="AK54" i="14"/>
  <c r="BA54" i="14"/>
  <c r="AJ53" i="14"/>
  <c r="AZ53" i="14"/>
  <c r="AJ55" i="14"/>
  <c r="AZ55" i="14"/>
  <c r="AI54" i="14"/>
  <c r="AY54" i="14"/>
  <c r="AH53" i="14"/>
  <c r="AE55" i="14"/>
  <c r="AI55" i="14"/>
  <c r="AM55" i="14"/>
  <c r="AQ55" i="14"/>
  <c r="AU55" i="14"/>
  <c r="AC55" i="14"/>
  <c r="AS55" i="14"/>
  <c r="BC55" i="14"/>
  <c r="AD54" i="14"/>
  <c r="AL54" i="14"/>
  <c r="AT54" i="14"/>
  <c r="BB54" i="14"/>
  <c r="AC53" i="14"/>
  <c r="AK53" i="14"/>
  <c r="AS53" i="14"/>
  <c r="BA53" i="14"/>
  <c r="BI53" i="14"/>
  <c r="AV54" i="14"/>
  <c r="BD54" i="14"/>
  <c r="AE53" i="14"/>
  <c r="AM53" i="14"/>
  <c r="AU53" i="14"/>
  <c r="BC53" i="14"/>
  <c r="BA55" i="14"/>
  <c r="BI55" i="14"/>
  <c r="AR54" i="14"/>
  <c r="BH54" i="14"/>
  <c r="AQ53" i="14"/>
  <c r="BG53" i="14"/>
  <c r="AG55" i="14"/>
  <c r="AW55" i="14"/>
  <c r="BE55" i="14"/>
  <c r="AF54" i="14"/>
  <c r="AN54" i="14"/>
  <c r="AK55" i="14"/>
  <c r="AY55" i="14"/>
  <c r="BG55" i="14"/>
  <c r="AH54" i="14"/>
  <c r="AP54" i="14"/>
  <c r="AX54" i="14"/>
  <c r="BF54" i="14"/>
  <c r="AG53" i="14"/>
  <c r="AO53" i="14"/>
  <c r="AW53" i="14"/>
  <c r="BE53" i="14"/>
  <c r="AB55" i="14"/>
  <c r="AO55" i="14"/>
  <c r="AJ54" i="14"/>
  <c r="AZ54" i="14"/>
  <c r="AI53" i="14"/>
  <c r="AY53" i="14"/>
  <c r="AB53" i="14"/>
  <c r="AH55" i="14"/>
  <c r="AG54" i="14"/>
  <c r="AF53" i="14"/>
  <c r="AF55" i="14"/>
  <c r="AE54" i="14"/>
  <c r="AD53" i="14"/>
  <c r="AT53" i="14"/>
  <c r="AP55" i="14"/>
  <c r="BF55" i="14"/>
  <c r="AO54" i="14"/>
  <c r="BE54" i="14"/>
  <c r="AN53" i="14"/>
  <c r="BD53" i="14"/>
  <c r="AN55" i="14"/>
  <c r="BD55" i="14"/>
  <c r="AM54" i="14"/>
  <c r="BC54" i="14"/>
  <c r="AL53" i="14"/>
  <c r="BB53" i="14"/>
  <c r="AD55" i="14"/>
  <c r="G49" i="14"/>
  <c r="F47" i="14"/>
  <c r="G47" i="14" s="1"/>
  <c r="H47" i="14" s="1"/>
  <c r="I47" i="14" s="1"/>
  <c r="J47" i="14" s="1"/>
  <c r="K47" i="14" s="1"/>
  <c r="L47" i="14" s="1"/>
  <c r="M47" i="14" s="1"/>
  <c r="N47" i="14" s="1"/>
  <c r="O47" i="14" s="1"/>
  <c r="P47" i="14" s="1"/>
  <c r="Q47" i="14" s="1"/>
  <c r="R47" i="14" s="1"/>
  <c r="S47" i="14" s="1"/>
  <c r="T47" i="14" s="1"/>
  <c r="G50" i="14"/>
  <c r="G48" i="14"/>
  <c r="G39" i="14"/>
  <c r="H50" i="14"/>
  <c r="I28" i="14"/>
  <c r="I29" i="14" s="1"/>
  <c r="D46" i="14"/>
  <c r="D45" i="14"/>
  <c r="F37" i="14"/>
  <c r="F38" i="14"/>
  <c r="F39" i="14"/>
  <c r="D44" i="14"/>
  <c r="F28" i="12"/>
  <c r="F29" i="12" s="1"/>
  <c r="Z34" i="12"/>
  <c r="D12" i="11"/>
  <c r="H45" i="11" s="1"/>
  <c r="D22" i="10"/>
  <c r="D23" i="10" s="1"/>
  <c r="AC35" i="12"/>
  <c r="AA33" i="12"/>
  <c r="Z33" i="12"/>
  <c r="AC34" i="12"/>
  <c r="Y34" i="12"/>
  <c r="X35" i="12"/>
  <c r="AC33" i="12"/>
  <c r="Y33" i="12"/>
  <c r="X34" i="12"/>
  <c r="AA35" i="12"/>
  <c r="AB33" i="12"/>
  <c r="AA34" i="12"/>
  <c r="AD35" i="12"/>
  <c r="Z35" i="12"/>
  <c r="D12" i="13"/>
  <c r="G34" i="13" s="1"/>
  <c r="F28" i="13"/>
  <c r="F29" i="13" s="1"/>
  <c r="E47" i="13"/>
  <c r="E36" i="13"/>
  <c r="R35" i="12"/>
  <c r="N35" i="12"/>
  <c r="J35" i="12"/>
  <c r="U34" i="12"/>
  <c r="Q34" i="12"/>
  <c r="M34" i="12"/>
  <c r="T33" i="12"/>
  <c r="P33" i="12"/>
  <c r="L33" i="12"/>
  <c r="U35" i="12"/>
  <c r="Q35" i="12"/>
  <c r="M35" i="12"/>
  <c r="T34" i="12"/>
  <c r="P34" i="12"/>
  <c r="L34" i="12"/>
  <c r="W33" i="12"/>
  <c r="S33" i="12"/>
  <c r="O33" i="12"/>
  <c r="G33" i="12"/>
  <c r="F46" i="12"/>
  <c r="F45" i="12"/>
  <c r="T35" i="12"/>
  <c r="P35" i="12"/>
  <c r="L35" i="12"/>
  <c r="W34" i="12"/>
  <c r="S34" i="12"/>
  <c r="O34" i="12"/>
  <c r="S35" i="12"/>
  <c r="O35" i="12"/>
  <c r="K35" i="12"/>
  <c r="V34" i="12"/>
  <c r="F33" i="12"/>
  <c r="N33" i="12"/>
  <c r="K34" i="12"/>
  <c r="I33" i="12"/>
  <c r="Q33" i="12"/>
  <c r="N34" i="12"/>
  <c r="J33" i="12"/>
  <c r="R33" i="12"/>
  <c r="R34" i="12"/>
  <c r="E36" i="12"/>
  <c r="E47" i="12"/>
  <c r="U33" i="12"/>
  <c r="J34" i="12"/>
  <c r="D22" i="11"/>
  <c r="F28" i="11"/>
  <c r="F29" i="11" s="1"/>
  <c r="E36" i="11"/>
  <c r="G28" i="10"/>
  <c r="G29" i="10" s="1"/>
  <c r="K34" i="10"/>
  <c r="E36" i="10"/>
  <c r="N35" i="10"/>
  <c r="M35" i="10"/>
  <c r="G12" i="10"/>
  <c r="W34" i="10"/>
  <c r="D12" i="9"/>
  <c r="O33" i="9" s="1"/>
  <c r="D22" i="9"/>
  <c r="D23" i="9" s="1"/>
  <c r="G28" i="9"/>
  <c r="G29" i="9" s="1"/>
  <c r="E36" i="9"/>
  <c r="D20" i="8"/>
  <c r="D19" i="8"/>
  <c r="D18" i="8"/>
  <c r="D17" i="8"/>
  <c r="D13" i="8"/>
  <c r="D10" i="8"/>
  <c r="D9" i="8"/>
  <c r="F28" i="8" s="1"/>
  <c r="D8" i="8"/>
  <c r="D7" i="8"/>
  <c r="D60" i="8"/>
  <c r="D51" i="8"/>
  <c r="D42" i="8"/>
  <c r="D41" i="8"/>
  <c r="D40" i="8"/>
  <c r="D20" i="7"/>
  <c r="D19" i="7"/>
  <c r="D18" i="7"/>
  <c r="D17" i="7"/>
  <c r="D13" i="7"/>
  <c r="G7" i="7" s="1"/>
  <c r="D10" i="7"/>
  <c r="D9" i="7"/>
  <c r="F28" i="7" s="1"/>
  <c r="D8" i="7"/>
  <c r="D7" i="7"/>
  <c r="D60" i="7"/>
  <c r="D51" i="7"/>
  <c r="D42" i="7"/>
  <c r="D41" i="7"/>
  <c r="D40" i="7"/>
  <c r="G12" i="7"/>
  <c r="D20" i="1"/>
  <c r="D19" i="1"/>
  <c r="D18" i="1"/>
  <c r="D17" i="1"/>
  <c r="D13" i="1"/>
  <c r="D10" i="1"/>
  <c r="D9" i="1"/>
  <c r="F28" i="1" s="1"/>
  <c r="F29" i="1" s="1"/>
  <c r="D8" i="1"/>
  <c r="D7" i="1"/>
  <c r="B97" i="6"/>
  <c r="F97" i="6" s="1"/>
  <c r="B95" i="6"/>
  <c r="B94" i="6"/>
  <c r="B93" i="6"/>
  <c r="B92" i="6"/>
  <c r="B85" i="6"/>
  <c r="F85" i="6" s="1"/>
  <c r="B83" i="6"/>
  <c r="B82" i="6"/>
  <c r="B81" i="6"/>
  <c r="B80" i="6"/>
  <c r="B73" i="6"/>
  <c r="F73" i="6" s="1"/>
  <c r="B71" i="6"/>
  <c r="B70" i="6"/>
  <c r="B69" i="6"/>
  <c r="B68" i="6"/>
  <c r="B61" i="6"/>
  <c r="F61" i="6" s="1"/>
  <c r="B59" i="6"/>
  <c r="B58" i="6"/>
  <c r="B57" i="6"/>
  <c r="B56" i="6"/>
  <c r="B50" i="6"/>
  <c r="B48" i="6"/>
  <c r="B47" i="6"/>
  <c r="B46" i="6"/>
  <c r="B45" i="6"/>
  <c r="B39" i="6"/>
  <c r="F39" i="6" s="1"/>
  <c r="B37" i="6"/>
  <c r="B36" i="6"/>
  <c r="B35" i="6"/>
  <c r="B34" i="6"/>
  <c r="B28" i="6"/>
  <c r="F28" i="6" s="1"/>
  <c r="B26" i="6"/>
  <c r="B25" i="6"/>
  <c r="B24" i="6"/>
  <c r="B23" i="6"/>
  <c r="B17" i="6"/>
  <c r="F17" i="6" s="1"/>
  <c r="B15" i="6"/>
  <c r="B14" i="6"/>
  <c r="B13" i="6"/>
  <c r="B12" i="6"/>
  <c r="F50" i="6"/>
  <c r="B13" i="5"/>
  <c r="D33" i="16" l="1"/>
  <c r="G8" i="16" s="1"/>
  <c r="H36" i="16"/>
  <c r="I36" i="16" s="1"/>
  <c r="J36" i="16" s="1"/>
  <c r="K36" i="16" s="1"/>
  <c r="L36" i="16" s="1"/>
  <c r="M36" i="16" s="1"/>
  <c r="N36" i="16" s="1"/>
  <c r="O36" i="16" s="1"/>
  <c r="P36" i="16" s="1"/>
  <c r="Q36" i="16" s="1"/>
  <c r="AG47" i="16"/>
  <c r="AH47" i="16" s="1"/>
  <c r="AI47" i="16" s="1"/>
  <c r="AJ47" i="16" s="1"/>
  <c r="AK47" i="16" s="1"/>
  <c r="AL47" i="16" s="1"/>
  <c r="AM47" i="16" s="1"/>
  <c r="BE47" i="15"/>
  <c r="D35" i="16"/>
  <c r="D46" i="16"/>
  <c r="I28" i="3"/>
  <c r="D45" i="16"/>
  <c r="D44" i="16"/>
  <c r="K27" i="3"/>
  <c r="D33" i="14"/>
  <c r="G8" i="14" s="1"/>
  <c r="C19" i="3" s="1"/>
  <c r="F38" i="15"/>
  <c r="D35" i="14"/>
  <c r="N33" i="10"/>
  <c r="K35" i="10"/>
  <c r="X33" i="10"/>
  <c r="J33" i="11"/>
  <c r="Q33" i="10"/>
  <c r="H33" i="10"/>
  <c r="V34" i="10"/>
  <c r="S33" i="10"/>
  <c r="F45" i="10"/>
  <c r="F47" i="10" s="1"/>
  <c r="J34" i="10"/>
  <c r="M33" i="10"/>
  <c r="P34" i="10"/>
  <c r="U34" i="10"/>
  <c r="F44" i="11"/>
  <c r="S33" i="11"/>
  <c r="F47" i="12"/>
  <c r="Q33" i="11"/>
  <c r="I34" i="11"/>
  <c r="N34" i="11"/>
  <c r="T33" i="11"/>
  <c r="P34" i="11"/>
  <c r="H35" i="11"/>
  <c r="M35" i="11"/>
  <c r="G36" i="14"/>
  <c r="H36" i="14" s="1"/>
  <c r="I36" i="14" s="1"/>
  <c r="J36" i="14" s="1"/>
  <c r="K36" i="14" s="1"/>
  <c r="L36" i="14" s="1"/>
  <c r="M36" i="14" s="1"/>
  <c r="N36" i="14" s="1"/>
  <c r="O36" i="14" s="1"/>
  <c r="P36" i="14" s="1"/>
  <c r="Q36" i="14" s="1"/>
  <c r="R36" i="14" s="1"/>
  <c r="S36" i="14" s="1"/>
  <c r="T36" i="14" s="1"/>
  <c r="U36" i="14" s="1"/>
  <c r="V36" i="14" s="1"/>
  <c r="W36" i="14" s="1"/>
  <c r="X36" i="14" s="1"/>
  <c r="Y36" i="14" s="1"/>
  <c r="Z36" i="14" s="1"/>
  <c r="AA36" i="14" s="1"/>
  <c r="AB36" i="14" s="1"/>
  <c r="AC36" i="14" s="1"/>
  <c r="P33" i="11"/>
  <c r="O35" i="11"/>
  <c r="F45" i="11"/>
  <c r="F47" i="11" s="1"/>
  <c r="F46" i="11"/>
  <c r="M33" i="12"/>
  <c r="G34" i="12"/>
  <c r="F34" i="12"/>
  <c r="F36" i="12" s="1"/>
  <c r="V33" i="12"/>
  <c r="G35" i="12"/>
  <c r="W35" i="12"/>
  <c r="H35" i="12"/>
  <c r="F44" i="12"/>
  <c r="F48" i="12" s="1"/>
  <c r="K33" i="12"/>
  <c r="H34" i="12"/>
  <c r="I35" i="12"/>
  <c r="H33" i="12"/>
  <c r="I34" i="12"/>
  <c r="F35" i="12"/>
  <c r="V35" i="12"/>
  <c r="X33" i="12"/>
  <c r="AB34" i="12"/>
  <c r="AB35" i="12"/>
  <c r="AD33" i="12"/>
  <c r="AD34" i="12"/>
  <c r="K10" i="3"/>
  <c r="J28" i="3"/>
  <c r="D34" i="14"/>
  <c r="O34" i="10"/>
  <c r="W33" i="10"/>
  <c r="Q35" i="10"/>
  <c r="I34" i="10"/>
  <c r="R35" i="10"/>
  <c r="R33" i="10"/>
  <c r="F44" i="10"/>
  <c r="D44" i="10" s="1"/>
  <c r="X35" i="10"/>
  <c r="F34" i="10"/>
  <c r="F36" i="10" s="1"/>
  <c r="P35" i="10"/>
  <c r="H34" i="10"/>
  <c r="X34" i="10"/>
  <c r="U35" i="10"/>
  <c r="P33" i="10"/>
  <c r="M34" i="10"/>
  <c r="F35" i="10"/>
  <c r="S35" i="10"/>
  <c r="T35" i="10"/>
  <c r="J33" i="10"/>
  <c r="I33" i="10"/>
  <c r="L35" i="10"/>
  <c r="V33" i="10"/>
  <c r="H35" i="10"/>
  <c r="U33" i="10"/>
  <c r="R34" i="10"/>
  <c r="O33" i="10"/>
  <c r="L34" i="10"/>
  <c r="I35" i="10"/>
  <c r="Y35" i="10"/>
  <c r="T33" i="10"/>
  <c r="Q34" i="10"/>
  <c r="J35" i="10"/>
  <c r="G35" i="10"/>
  <c r="W35" i="10"/>
  <c r="S34" i="10"/>
  <c r="F33" i="10"/>
  <c r="F37" i="10" s="1"/>
  <c r="G33" i="10"/>
  <c r="L33" i="10"/>
  <c r="O35" i="10"/>
  <c r="Y33" i="10"/>
  <c r="K25" i="3"/>
  <c r="F46" i="10"/>
  <c r="F50" i="10" s="1"/>
  <c r="N34" i="10"/>
  <c r="T34" i="10"/>
  <c r="Y34" i="10"/>
  <c r="G34" i="10"/>
  <c r="G38" i="10" s="1"/>
  <c r="K33" i="10"/>
  <c r="K34" i="3"/>
  <c r="R34" i="9"/>
  <c r="K26" i="3"/>
  <c r="K11" i="3"/>
  <c r="K9" i="3"/>
  <c r="H45" i="9"/>
  <c r="K12" i="3"/>
  <c r="K8" i="3"/>
  <c r="G45" i="9"/>
  <c r="G49" i="9" s="1"/>
  <c r="AD35" i="9"/>
  <c r="P34" i="9"/>
  <c r="D45" i="15"/>
  <c r="D54" i="14"/>
  <c r="D34" i="15"/>
  <c r="G38" i="15"/>
  <c r="D44" i="15"/>
  <c r="G14" i="15" s="1"/>
  <c r="D33" i="30" s="1"/>
  <c r="D46" i="15"/>
  <c r="W34" i="11"/>
  <c r="D35" i="15"/>
  <c r="G36" i="15"/>
  <c r="H36" i="15" s="1"/>
  <c r="I36" i="15" s="1"/>
  <c r="J36" i="15" s="1"/>
  <c r="K36" i="15" s="1"/>
  <c r="L36" i="15" s="1"/>
  <c r="M36" i="15" s="1"/>
  <c r="F29" i="7"/>
  <c r="F29" i="8"/>
  <c r="J6" i="3"/>
  <c r="I6" i="3"/>
  <c r="J5" i="3"/>
  <c r="I5" i="3"/>
  <c r="J7" i="3"/>
  <c r="I7" i="3"/>
  <c r="N34" i="9"/>
  <c r="H46" i="11"/>
  <c r="D33" i="15"/>
  <c r="G8" i="15" s="1"/>
  <c r="BF47" i="15"/>
  <c r="BG47" i="15" s="1"/>
  <c r="BH47" i="15" s="1"/>
  <c r="BI47" i="15" s="1"/>
  <c r="BJ47" i="15" s="1"/>
  <c r="BK47" i="15" s="1"/>
  <c r="BL47" i="15" s="1"/>
  <c r="BM47" i="15" s="1"/>
  <c r="BN47" i="15" s="1"/>
  <c r="BO47" i="15" s="1"/>
  <c r="BP47" i="15" s="1"/>
  <c r="G39" i="16"/>
  <c r="G37" i="16"/>
  <c r="G38" i="16"/>
  <c r="I28" i="16"/>
  <c r="I29" i="16" s="1"/>
  <c r="G37" i="15"/>
  <c r="I28" i="15"/>
  <c r="I29" i="15" s="1"/>
  <c r="V35" i="11"/>
  <c r="U33" i="11"/>
  <c r="T34" i="11"/>
  <c r="S35" i="11"/>
  <c r="N33" i="11"/>
  <c r="M34" i="11"/>
  <c r="L35" i="11"/>
  <c r="G33" i="11"/>
  <c r="W33" i="11"/>
  <c r="R34" i="11"/>
  <c r="Q35" i="11"/>
  <c r="G34" i="11"/>
  <c r="H33" i="11"/>
  <c r="G46" i="11"/>
  <c r="H44" i="11"/>
  <c r="D53" i="14"/>
  <c r="U35" i="9"/>
  <c r="J35" i="11"/>
  <c r="F35" i="11"/>
  <c r="I33" i="11"/>
  <c r="H34" i="11"/>
  <c r="G35" i="11"/>
  <c r="W35" i="11"/>
  <c r="R33" i="11"/>
  <c r="Q34" i="11"/>
  <c r="P35" i="11"/>
  <c r="K33" i="11"/>
  <c r="F34" i="11"/>
  <c r="F36" i="11" s="1"/>
  <c r="V34" i="11"/>
  <c r="U35" i="11"/>
  <c r="L33" i="11"/>
  <c r="S34" i="11"/>
  <c r="G44" i="11"/>
  <c r="G45" i="11"/>
  <c r="D55" i="14"/>
  <c r="F44" i="13"/>
  <c r="AF35" i="9"/>
  <c r="AC34" i="9"/>
  <c r="AB35" i="9"/>
  <c r="O34" i="11"/>
  <c r="K34" i="11"/>
  <c r="M33" i="11"/>
  <c r="L34" i="11"/>
  <c r="K35" i="11"/>
  <c r="F33" i="11"/>
  <c r="V33" i="11"/>
  <c r="U34" i="11"/>
  <c r="T35" i="11"/>
  <c r="O33" i="11"/>
  <c r="J34" i="11"/>
  <c r="I35" i="11"/>
  <c r="R35" i="11"/>
  <c r="N35" i="11"/>
  <c r="AB56" i="14"/>
  <c r="AC56" i="14" s="1"/>
  <c r="AD56" i="14" s="1"/>
  <c r="AE56" i="14" s="1"/>
  <c r="AF56" i="14" s="1"/>
  <c r="AG56" i="14" s="1"/>
  <c r="AH56" i="14" s="1"/>
  <c r="AI56" i="14" s="1"/>
  <c r="AJ56" i="14" s="1"/>
  <c r="AK56" i="14" s="1"/>
  <c r="AL56" i="14" s="1"/>
  <c r="AM56" i="14" s="1"/>
  <c r="AN56" i="14" s="1"/>
  <c r="AO56" i="14" s="1"/>
  <c r="AP56" i="14" s="1"/>
  <c r="AQ56" i="14" s="1"/>
  <c r="AR56" i="14" s="1"/>
  <c r="AS56" i="14" s="1"/>
  <c r="AT56" i="14" s="1"/>
  <c r="AU56" i="14" s="1"/>
  <c r="AV56" i="14" s="1"/>
  <c r="AW56" i="14" s="1"/>
  <c r="AX56" i="14" s="1"/>
  <c r="AY56" i="14" s="1"/>
  <c r="AZ56" i="14" s="1"/>
  <c r="BA56" i="14" s="1"/>
  <c r="BB56" i="14" s="1"/>
  <c r="BC56" i="14" s="1"/>
  <c r="BD56" i="14" s="1"/>
  <c r="BE56" i="14" s="1"/>
  <c r="BF56" i="14" s="1"/>
  <c r="BG56" i="14" s="1"/>
  <c r="BH56" i="14" s="1"/>
  <c r="BI56" i="14" s="1"/>
  <c r="H49" i="14"/>
  <c r="H38" i="14"/>
  <c r="H37" i="14"/>
  <c r="H39" i="14"/>
  <c r="H48" i="14"/>
  <c r="G14" i="14"/>
  <c r="D19" i="3" s="1"/>
  <c r="J28" i="14"/>
  <c r="J29" i="14" s="1"/>
  <c r="J33" i="13"/>
  <c r="Y34" i="13"/>
  <c r="G28" i="12"/>
  <c r="G29" i="12" s="1"/>
  <c r="P35" i="13"/>
  <c r="AD33" i="9"/>
  <c r="X33" i="9"/>
  <c r="I44" i="9"/>
  <c r="X34" i="13"/>
  <c r="S35" i="13"/>
  <c r="M33" i="13"/>
  <c r="R35" i="13"/>
  <c r="H33" i="13"/>
  <c r="W34" i="13"/>
  <c r="R33" i="9"/>
  <c r="K33" i="13"/>
  <c r="R34" i="13"/>
  <c r="U35" i="13"/>
  <c r="X35" i="9"/>
  <c r="AA33" i="9"/>
  <c r="AB34" i="9"/>
  <c r="I34" i="9"/>
  <c r="W35" i="9"/>
  <c r="U33" i="9"/>
  <c r="AA35" i="9"/>
  <c r="Y33" i="9"/>
  <c r="AE35" i="9"/>
  <c r="H46" i="9"/>
  <c r="D12" i="7"/>
  <c r="N46" i="7" s="1"/>
  <c r="AE34" i="9"/>
  <c r="F44" i="9"/>
  <c r="F48" i="9" s="1"/>
  <c r="AE33" i="9"/>
  <c r="AF34" i="9"/>
  <c r="H33" i="9"/>
  <c r="M34" i="9"/>
  <c r="N35" i="9"/>
  <c r="O35" i="9"/>
  <c r="M33" i="9"/>
  <c r="AA34" i="9"/>
  <c r="S35" i="9"/>
  <c r="Q33" i="9"/>
  <c r="K46" i="9"/>
  <c r="H44" i="9"/>
  <c r="D12" i="1"/>
  <c r="V33" i="9"/>
  <c r="AG35" i="9"/>
  <c r="J35" i="9"/>
  <c r="AI34" i="9"/>
  <c r="G46" i="9"/>
  <c r="W34" i="9"/>
  <c r="K33" i="9"/>
  <c r="L34" i="9"/>
  <c r="Q35" i="9"/>
  <c r="T33" i="9"/>
  <c r="Y34" i="9"/>
  <c r="Z35" i="9"/>
  <c r="V34" i="9"/>
  <c r="Z33" i="9"/>
  <c r="Z34" i="9"/>
  <c r="J46" i="9"/>
  <c r="K44" i="9"/>
  <c r="L44" i="9"/>
  <c r="H34" i="13"/>
  <c r="I34" i="13"/>
  <c r="X33" i="13"/>
  <c r="G28" i="1"/>
  <c r="E47" i="8"/>
  <c r="G7" i="8"/>
  <c r="B60" i="6"/>
  <c r="AA59" i="6" s="1"/>
  <c r="P35" i="9"/>
  <c r="O34" i="9"/>
  <c r="N33" i="9"/>
  <c r="F46" i="9"/>
  <c r="S33" i="9"/>
  <c r="AI33" i="9"/>
  <c r="T34" i="9"/>
  <c r="I35" i="9"/>
  <c r="Y35" i="9"/>
  <c r="L33" i="9"/>
  <c r="AB33" i="9"/>
  <c r="Q34" i="9"/>
  <c r="AG34" i="9"/>
  <c r="R35" i="9"/>
  <c r="AH35" i="9"/>
  <c r="G35" i="9"/>
  <c r="F34" i="9"/>
  <c r="F38" i="9" s="1"/>
  <c r="T35" i="9"/>
  <c r="S34" i="9"/>
  <c r="J33" i="9"/>
  <c r="K35" i="9"/>
  <c r="J34" i="9"/>
  <c r="I33" i="9"/>
  <c r="L45" i="9"/>
  <c r="I45" i="9"/>
  <c r="L46" i="9"/>
  <c r="D23" i="11"/>
  <c r="H35" i="9"/>
  <c r="G34" i="9"/>
  <c r="F33" i="9"/>
  <c r="F37" i="9" s="1"/>
  <c r="G33" i="9"/>
  <c r="W33" i="9"/>
  <c r="H34" i="9"/>
  <c r="X34" i="9"/>
  <c r="M35" i="9"/>
  <c r="AC35" i="9"/>
  <c r="P33" i="9"/>
  <c r="AF33" i="9"/>
  <c r="U34" i="9"/>
  <c r="F35" i="9"/>
  <c r="F39" i="9" s="1"/>
  <c r="V35" i="9"/>
  <c r="F45" i="9"/>
  <c r="F47" i="9" s="1"/>
  <c r="AD34" i="9"/>
  <c r="AC33" i="9"/>
  <c r="L35" i="9"/>
  <c r="K34" i="9"/>
  <c r="AI35" i="9"/>
  <c r="AH34" i="9"/>
  <c r="AG33" i="9"/>
  <c r="AH33" i="9"/>
  <c r="J44" i="9"/>
  <c r="G44" i="9"/>
  <c r="I46" i="9"/>
  <c r="J45" i="9"/>
  <c r="Q35" i="13"/>
  <c r="S34" i="13"/>
  <c r="Y33" i="13"/>
  <c r="I33" i="13"/>
  <c r="L35" i="13"/>
  <c r="N34" i="13"/>
  <c r="T33" i="13"/>
  <c r="F46" i="13"/>
  <c r="D46" i="13" s="1"/>
  <c r="O35" i="13"/>
  <c r="U34" i="13"/>
  <c r="W33" i="13"/>
  <c r="G33" i="13"/>
  <c r="N35" i="13"/>
  <c r="T34" i="13"/>
  <c r="V33" i="13"/>
  <c r="F33" i="13"/>
  <c r="F45" i="13"/>
  <c r="F47" i="13" s="1"/>
  <c r="M35" i="13"/>
  <c r="O34" i="13"/>
  <c r="U33" i="13"/>
  <c r="X35" i="13"/>
  <c r="H35" i="13"/>
  <c r="J34" i="13"/>
  <c r="P33" i="13"/>
  <c r="D44" i="13"/>
  <c r="K35" i="13"/>
  <c r="Q34" i="13"/>
  <c r="S33" i="13"/>
  <c r="J35" i="13"/>
  <c r="P34" i="13"/>
  <c r="R33" i="13"/>
  <c r="Y35" i="13"/>
  <c r="I35" i="13"/>
  <c r="K34" i="13"/>
  <c r="Q33" i="13"/>
  <c r="T35" i="13"/>
  <c r="V34" i="13"/>
  <c r="F34" i="13"/>
  <c r="F36" i="13" s="1"/>
  <c r="G36" i="13" s="1"/>
  <c r="L33" i="13"/>
  <c r="W35" i="13"/>
  <c r="G35" i="13"/>
  <c r="M34" i="13"/>
  <c r="O33" i="13"/>
  <c r="V35" i="13"/>
  <c r="F35" i="13"/>
  <c r="L34" i="13"/>
  <c r="N33" i="13"/>
  <c r="G28" i="13"/>
  <c r="G29" i="13" s="1"/>
  <c r="F49" i="12"/>
  <c r="D45" i="12"/>
  <c r="F39" i="12"/>
  <c r="F37" i="12"/>
  <c r="F50" i="12"/>
  <c r="D46" i="12"/>
  <c r="D45" i="11"/>
  <c r="G28" i="11"/>
  <c r="G29" i="11" s="1"/>
  <c r="F39" i="10"/>
  <c r="H28" i="10"/>
  <c r="H29" i="10" s="1"/>
  <c r="K45" i="9"/>
  <c r="H28" i="9"/>
  <c r="H29" i="9" s="1"/>
  <c r="D22" i="8"/>
  <c r="D12" i="8"/>
  <c r="AF33" i="8" s="1"/>
  <c r="G12" i="8"/>
  <c r="G28" i="8"/>
  <c r="G29" i="8" s="1"/>
  <c r="E36" i="8"/>
  <c r="D22" i="7"/>
  <c r="G28" i="7"/>
  <c r="G29" i="7" s="1"/>
  <c r="E36" i="7"/>
  <c r="E47" i="7"/>
  <c r="B16" i="6"/>
  <c r="H16" i="6" s="1"/>
  <c r="B49" i="6"/>
  <c r="M48" i="6" s="1"/>
  <c r="B27" i="6"/>
  <c r="Z26" i="6" s="1"/>
  <c r="B96" i="6"/>
  <c r="AD94" i="6" s="1"/>
  <c r="B38" i="6"/>
  <c r="AQ38" i="6" s="1"/>
  <c r="B72" i="6"/>
  <c r="AD72" i="6" s="1"/>
  <c r="B84" i="6"/>
  <c r="R82" i="6" s="1"/>
  <c r="T15" i="6"/>
  <c r="C27" i="3" l="1"/>
  <c r="C34" i="30"/>
  <c r="C26" i="3"/>
  <c r="C33" i="30"/>
  <c r="E33" i="30" s="1"/>
  <c r="E19" i="3"/>
  <c r="D46" i="11"/>
  <c r="K28" i="3"/>
  <c r="G14" i="16"/>
  <c r="G38" i="12"/>
  <c r="F49" i="10"/>
  <c r="G36" i="12"/>
  <c r="H36" i="12" s="1"/>
  <c r="I36" i="12" s="1"/>
  <c r="J36" i="12" s="1"/>
  <c r="K36" i="12" s="1"/>
  <c r="L36" i="12" s="1"/>
  <c r="M36" i="12" s="1"/>
  <c r="N36" i="12" s="1"/>
  <c r="O36" i="12" s="1"/>
  <c r="P36" i="12" s="1"/>
  <c r="Q36" i="12" s="1"/>
  <c r="R36" i="12" s="1"/>
  <c r="S36" i="12" s="1"/>
  <c r="T36" i="12" s="1"/>
  <c r="U36" i="12" s="1"/>
  <c r="V36" i="12" s="1"/>
  <c r="W36" i="12" s="1"/>
  <c r="X36" i="12" s="1"/>
  <c r="Y36" i="12" s="1"/>
  <c r="Z36" i="12" s="1"/>
  <c r="AA36" i="12" s="1"/>
  <c r="AB36" i="12" s="1"/>
  <c r="AC36" i="12" s="1"/>
  <c r="AD36" i="12" s="1"/>
  <c r="F38" i="10"/>
  <c r="D45" i="10"/>
  <c r="D35" i="12"/>
  <c r="U47" i="6"/>
  <c r="F34" i="7"/>
  <c r="H46" i="7"/>
  <c r="D46" i="10"/>
  <c r="H28" i="12"/>
  <c r="H29" i="12" s="1"/>
  <c r="F48" i="10"/>
  <c r="F38" i="12"/>
  <c r="AA60" i="6"/>
  <c r="F49" i="11"/>
  <c r="O35" i="7"/>
  <c r="G36" i="10"/>
  <c r="H36" i="10" s="1"/>
  <c r="I36" i="10" s="1"/>
  <c r="J36" i="10" s="1"/>
  <c r="K36" i="10" s="1"/>
  <c r="L36" i="10" s="1"/>
  <c r="M36" i="10" s="1"/>
  <c r="N36" i="10" s="1"/>
  <c r="O36" i="10" s="1"/>
  <c r="P36" i="10" s="1"/>
  <c r="Q36" i="10" s="1"/>
  <c r="R36" i="10" s="1"/>
  <c r="S36" i="10" s="1"/>
  <c r="T36" i="10" s="1"/>
  <c r="U36" i="10" s="1"/>
  <c r="V36" i="10" s="1"/>
  <c r="W36" i="10" s="1"/>
  <c r="X36" i="10" s="1"/>
  <c r="Y36" i="10" s="1"/>
  <c r="D35" i="10"/>
  <c r="D33" i="10"/>
  <c r="G8" i="10" s="1"/>
  <c r="C9" i="3" s="1"/>
  <c r="D34" i="12"/>
  <c r="D33" i="12"/>
  <c r="G8" i="12" s="1"/>
  <c r="C11" i="3" s="1"/>
  <c r="D34" i="10"/>
  <c r="Z59" i="6"/>
  <c r="AG60" i="6"/>
  <c r="D44" i="12"/>
  <c r="Y59" i="6"/>
  <c r="P59" i="6"/>
  <c r="P61" i="6" s="1"/>
  <c r="AE58" i="6"/>
  <c r="AD58" i="6"/>
  <c r="AG58" i="6"/>
  <c r="X60" i="6"/>
  <c r="Z60" i="6"/>
  <c r="AC14" i="6"/>
  <c r="X58" i="6"/>
  <c r="AA58" i="6"/>
  <c r="R58" i="6"/>
  <c r="Q58" i="6"/>
  <c r="AH59" i="6"/>
  <c r="AD60" i="6"/>
  <c r="AD14" i="6"/>
  <c r="P58" i="6"/>
  <c r="G47" i="9"/>
  <c r="H47" i="9" s="1"/>
  <c r="I47" i="9" s="1"/>
  <c r="J47" i="9" s="1"/>
  <c r="K47" i="9" s="1"/>
  <c r="L47" i="9" s="1"/>
  <c r="AC59" i="6"/>
  <c r="AB59" i="6"/>
  <c r="W60" i="6"/>
  <c r="Q60" i="6"/>
  <c r="G47" i="11"/>
  <c r="H47" i="11" s="1"/>
  <c r="L34" i="7"/>
  <c r="M35" i="7"/>
  <c r="W33" i="7"/>
  <c r="H36" i="13"/>
  <c r="I36" i="13" s="1"/>
  <c r="J36" i="13" s="1"/>
  <c r="K36" i="13" s="1"/>
  <c r="L36" i="13" s="1"/>
  <c r="M36" i="13" s="1"/>
  <c r="N36" i="13" s="1"/>
  <c r="O36" i="13" s="1"/>
  <c r="P36" i="13" s="1"/>
  <c r="Q36" i="13" s="1"/>
  <c r="R36" i="13" s="1"/>
  <c r="S36" i="13" s="1"/>
  <c r="T36" i="13" s="1"/>
  <c r="U36" i="13" s="1"/>
  <c r="V36" i="13" s="1"/>
  <c r="W36" i="13" s="1"/>
  <c r="X36" i="13" s="1"/>
  <c r="Y36" i="13" s="1"/>
  <c r="D33" i="11"/>
  <c r="G8" i="11" s="1"/>
  <c r="C10" i="3" s="1"/>
  <c r="T35" i="7"/>
  <c r="G36" i="11"/>
  <c r="H36" i="11" s="1"/>
  <c r="I36" i="11" s="1"/>
  <c r="J36" i="11" s="1"/>
  <c r="K36" i="11" s="1"/>
  <c r="L36" i="11" s="1"/>
  <c r="M36" i="11" s="1"/>
  <c r="N36" i="11" s="1"/>
  <c r="O36" i="11" s="1"/>
  <c r="P36" i="11" s="1"/>
  <c r="Q36" i="11" s="1"/>
  <c r="R36" i="11" s="1"/>
  <c r="S36" i="11" s="1"/>
  <c r="T36" i="11" s="1"/>
  <c r="U36" i="11" s="1"/>
  <c r="V36" i="11" s="1"/>
  <c r="W36" i="11" s="1"/>
  <c r="Y95" i="6"/>
  <c r="M33" i="7"/>
  <c r="I44" i="7"/>
  <c r="N34" i="7"/>
  <c r="AB35" i="7"/>
  <c r="AC33" i="7"/>
  <c r="U35" i="7"/>
  <c r="F33" i="7"/>
  <c r="F37" i="7" s="1"/>
  <c r="AB34" i="7"/>
  <c r="G45" i="7"/>
  <c r="I34" i="7"/>
  <c r="F44" i="7"/>
  <c r="F48" i="7" s="1"/>
  <c r="D26" i="3"/>
  <c r="E26" i="3" s="1"/>
  <c r="H33" i="7"/>
  <c r="V34" i="7"/>
  <c r="M45" i="7"/>
  <c r="K34" i="7"/>
  <c r="AC35" i="7"/>
  <c r="V33" i="7"/>
  <c r="J35" i="7"/>
  <c r="I46" i="7"/>
  <c r="Y34" i="7"/>
  <c r="N44" i="7"/>
  <c r="D35" i="11"/>
  <c r="D34" i="11"/>
  <c r="P33" i="7"/>
  <c r="L35" i="7"/>
  <c r="K46" i="7"/>
  <c r="S34" i="7"/>
  <c r="J45" i="7"/>
  <c r="AD33" i="7"/>
  <c r="R35" i="7"/>
  <c r="O33" i="7"/>
  <c r="G35" i="7"/>
  <c r="L45" i="7"/>
  <c r="H28" i="1"/>
  <c r="G29" i="1"/>
  <c r="AJ48" i="6"/>
  <c r="M35" i="8"/>
  <c r="AB49" i="6"/>
  <c r="K7" i="3"/>
  <c r="I13" i="3"/>
  <c r="J13" i="3"/>
  <c r="K5" i="3"/>
  <c r="K6" i="3"/>
  <c r="X33" i="8"/>
  <c r="D44" i="11"/>
  <c r="J28" i="16"/>
  <c r="J29" i="16" s="1"/>
  <c r="H37" i="16"/>
  <c r="H39" i="16"/>
  <c r="H38" i="16"/>
  <c r="J28" i="15"/>
  <c r="J29" i="15" s="1"/>
  <c r="H37" i="15"/>
  <c r="H39" i="15"/>
  <c r="H38" i="15"/>
  <c r="W96" i="6"/>
  <c r="O35" i="8"/>
  <c r="AC35" i="8"/>
  <c r="V15" i="6"/>
  <c r="V34" i="8"/>
  <c r="AD59" i="6"/>
  <c r="O58" i="6"/>
  <c r="AH58" i="6"/>
  <c r="AF59" i="6"/>
  <c r="U58" i="6"/>
  <c r="T60" i="6"/>
  <c r="AC60" i="6"/>
  <c r="L14" i="6"/>
  <c r="AE59" i="6"/>
  <c r="AB58" i="6"/>
  <c r="X33" i="7"/>
  <c r="AD34" i="7"/>
  <c r="K44" i="7"/>
  <c r="U33" i="7"/>
  <c r="AA34" i="7"/>
  <c r="L44" i="7"/>
  <c r="N33" i="7"/>
  <c r="T34" i="7"/>
  <c r="Z35" i="7"/>
  <c r="G33" i="7"/>
  <c r="Q34" i="7"/>
  <c r="W35" i="7"/>
  <c r="J46" i="7"/>
  <c r="AA33" i="8"/>
  <c r="T35" i="8"/>
  <c r="R35" i="8"/>
  <c r="F49" i="9"/>
  <c r="D34" i="9"/>
  <c r="K34" i="8"/>
  <c r="D46" i="9"/>
  <c r="I50" i="14"/>
  <c r="I48" i="14"/>
  <c r="I49" i="14"/>
  <c r="I38" i="14"/>
  <c r="I37" i="14"/>
  <c r="I39" i="14"/>
  <c r="K28" i="14"/>
  <c r="K29" i="14" s="1"/>
  <c r="G39" i="9"/>
  <c r="G37" i="12"/>
  <c r="AF83" i="6"/>
  <c r="W58" i="6"/>
  <c r="Z58" i="6"/>
  <c r="X59" i="6"/>
  <c r="O60" i="6"/>
  <c r="AB60" i="6"/>
  <c r="R60" i="6"/>
  <c r="Q48" i="6"/>
  <c r="O59" i="6"/>
  <c r="O61" i="6" s="1"/>
  <c r="B62" i="6" s="1"/>
  <c r="L9" i="5" s="1"/>
  <c r="D24" i="10" s="1"/>
  <c r="F50" i="9"/>
  <c r="V59" i="6"/>
  <c r="AE47" i="6"/>
  <c r="U59" i="6"/>
  <c r="W48" i="6"/>
  <c r="AC58" i="6"/>
  <c r="AE60" i="6"/>
  <c r="U60" i="6"/>
  <c r="AH60" i="6"/>
  <c r="W59" i="6"/>
  <c r="F36" i="9"/>
  <c r="G36" i="9" s="1"/>
  <c r="H36" i="9" s="1"/>
  <c r="I36" i="9" s="1"/>
  <c r="J36" i="9" s="1"/>
  <c r="K36" i="9" s="1"/>
  <c r="L36" i="9" s="1"/>
  <c r="M36" i="9" s="1"/>
  <c r="N36" i="9" s="1"/>
  <c r="O36" i="9" s="1"/>
  <c r="P36" i="9" s="1"/>
  <c r="Q36" i="9" s="1"/>
  <c r="R36" i="9" s="1"/>
  <c r="S36" i="9" s="1"/>
  <c r="T36" i="9" s="1"/>
  <c r="U36" i="9" s="1"/>
  <c r="V36" i="9" s="1"/>
  <c r="W36" i="9" s="1"/>
  <c r="X36" i="9" s="1"/>
  <c r="Y36" i="9" s="1"/>
  <c r="Z36" i="9" s="1"/>
  <c r="AA36" i="9" s="1"/>
  <c r="AB36" i="9" s="1"/>
  <c r="AC36" i="9" s="1"/>
  <c r="AD36" i="9" s="1"/>
  <c r="AE36" i="9" s="1"/>
  <c r="AF36" i="9" s="1"/>
  <c r="AG36" i="9" s="1"/>
  <c r="AH36" i="9" s="1"/>
  <c r="AI36" i="9" s="1"/>
  <c r="W94" i="6"/>
  <c r="R59" i="6"/>
  <c r="S58" i="6"/>
  <c r="AG59" i="6"/>
  <c r="Q59" i="6"/>
  <c r="V58" i="6"/>
  <c r="V47" i="6"/>
  <c r="T59" i="6"/>
  <c r="Y58" i="6"/>
  <c r="S60" i="6"/>
  <c r="P60" i="6"/>
  <c r="AF60" i="6"/>
  <c r="Y60" i="6"/>
  <c r="V60" i="6"/>
  <c r="W49" i="6"/>
  <c r="Y16" i="6"/>
  <c r="AB14" i="6"/>
  <c r="T58" i="6"/>
  <c r="AF58" i="6"/>
  <c r="S59" i="6"/>
  <c r="H33" i="8"/>
  <c r="M33" i="8"/>
  <c r="V33" i="8"/>
  <c r="D45" i="9"/>
  <c r="O70" i="6"/>
  <c r="U49" i="6"/>
  <c r="O47" i="6"/>
  <c r="L49" i="6"/>
  <c r="AK47" i="6"/>
  <c r="T33" i="7"/>
  <c r="J34" i="7"/>
  <c r="Z34" i="7"/>
  <c r="P35" i="7"/>
  <c r="G44" i="7"/>
  <c r="G46" i="7"/>
  <c r="Q33" i="7"/>
  <c r="G34" i="7"/>
  <c r="G38" i="7" s="1"/>
  <c r="W34" i="7"/>
  <c r="Q35" i="7"/>
  <c r="H44" i="7"/>
  <c r="N45" i="7"/>
  <c r="J33" i="7"/>
  <c r="Z33" i="7"/>
  <c r="P34" i="7"/>
  <c r="F35" i="7"/>
  <c r="F39" i="7" s="1"/>
  <c r="V35" i="7"/>
  <c r="M44" i="7"/>
  <c r="M46" i="7"/>
  <c r="S33" i="7"/>
  <c r="M34" i="7"/>
  <c r="AC34" i="7"/>
  <c r="S35" i="7"/>
  <c r="J44" i="7"/>
  <c r="F46" i="7"/>
  <c r="F50" i="7" s="1"/>
  <c r="N34" i="8"/>
  <c r="AB35" i="8"/>
  <c r="S34" i="8"/>
  <c r="N33" i="8"/>
  <c r="AA35" i="8"/>
  <c r="D33" i="13"/>
  <c r="G8" i="13" s="1"/>
  <c r="T48" i="6"/>
  <c r="AL47" i="6"/>
  <c r="I48" i="6"/>
  <c r="I50" i="6" s="1"/>
  <c r="L33" i="7"/>
  <c r="AB33" i="7"/>
  <c r="R34" i="7"/>
  <c r="H35" i="7"/>
  <c r="X35" i="7"/>
  <c r="I45" i="7"/>
  <c r="I33" i="7"/>
  <c r="Y33" i="7"/>
  <c r="O34" i="7"/>
  <c r="I35" i="7"/>
  <c r="Y35" i="7"/>
  <c r="F45" i="7"/>
  <c r="F49" i="7" s="1"/>
  <c r="L46" i="7"/>
  <c r="R33" i="7"/>
  <c r="H34" i="7"/>
  <c r="X34" i="7"/>
  <c r="N35" i="7"/>
  <c r="AD35" i="7"/>
  <c r="K45" i="7"/>
  <c r="K33" i="7"/>
  <c r="AA33" i="7"/>
  <c r="U34" i="7"/>
  <c r="K35" i="7"/>
  <c r="AA35" i="7"/>
  <c r="H45" i="7"/>
  <c r="I34" i="8"/>
  <c r="P33" i="8"/>
  <c r="AD34" i="8"/>
  <c r="AC33" i="8"/>
  <c r="U35" i="8"/>
  <c r="L34" i="8"/>
  <c r="AC34" i="8"/>
  <c r="D35" i="13"/>
  <c r="D44" i="9"/>
  <c r="V48" i="6"/>
  <c r="AD49" i="6"/>
  <c r="D35" i="9"/>
  <c r="D33" i="9"/>
  <c r="G8" i="9" s="1"/>
  <c r="D34" i="13"/>
  <c r="AL48" i="6"/>
  <c r="N49" i="6"/>
  <c r="F34" i="8"/>
  <c r="F36" i="8" s="1"/>
  <c r="L35" i="8"/>
  <c r="U33" i="8"/>
  <c r="AA34" i="8"/>
  <c r="F33" i="8"/>
  <c r="F37" i="8" s="1"/>
  <c r="AB34" i="8"/>
  <c r="F46" i="8"/>
  <c r="F50" i="8" s="1"/>
  <c r="G38" i="9"/>
  <c r="AG83" i="6"/>
  <c r="S15" i="6"/>
  <c r="I15" i="6"/>
  <c r="AJ84" i="6"/>
  <c r="AG82" i="6"/>
  <c r="AM84" i="6"/>
  <c r="X84" i="6"/>
  <c r="Z83" i="6"/>
  <c r="AA82" i="6"/>
  <c r="AA94" i="6"/>
  <c r="Z96" i="6"/>
  <c r="AD16" i="6"/>
  <c r="N14" i="6"/>
  <c r="L16" i="6"/>
  <c r="Q15" i="6"/>
  <c r="I16" i="6"/>
  <c r="N16" i="6"/>
  <c r="D23" i="8"/>
  <c r="X82" i="6"/>
  <c r="M14" i="6"/>
  <c r="AC15" i="6"/>
  <c r="AA14" i="6"/>
  <c r="D23" i="7"/>
  <c r="S33" i="8"/>
  <c r="T33" i="8"/>
  <c r="J34" i="8"/>
  <c r="Z34" i="8"/>
  <c r="P35" i="8"/>
  <c r="I33" i="8"/>
  <c r="Y33" i="8"/>
  <c r="O34" i="8"/>
  <c r="I35" i="8"/>
  <c r="Y35" i="8"/>
  <c r="J33" i="8"/>
  <c r="Z33" i="8"/>
  <c r="F35" i="8"/>
  <c r="F39" i="8" s="1"/>
  <c r="K35" i="8"/>
  <c r="K33" i="8"/>
  <c r="G33" i="8"/>
  <c r="G37" i="8" s="1"/>
  <c r="AG35" i="8"/>
  <c r="D45" i="13"/>
  <c r="AE34" i="8"/>
  <c r="Y34" i="8"/>
  <c r="G35" i="8"/>
  <c r="G39" i="8" s="1"/>
  <c r="L33" i="8"/>
  <c r="AB33" i="8"/>
  <c r="R34" i="8"/>
  <c r="H35" i="8"/>
  <c r="X35" i="8"/>
  <c r="Q33" i="8"/>
  <c r="G34" i="8"/>
  <c r="W34" i="8"/>
  <c r="Q35" i="8"/>
  <c r="F45" i="8"/>
  <c r="F47" i="8" s="1"/>
  <c r="R33" i="8"/>
  <c r="P34" i="8"/>
  <c r="V35" i="8"/>
  <c r="S35" i="8"/>
  <c r="F39" i="13"/>
  <c r="F50" i="13"/>
  <c r="D50" i="13" s="1"/>
  <c r="F37" i="13"/>
  <c r="F49" i="13"/>
  <c r="D49" i="13" s="1"/>
  <c r="F38" i="13"/>
  <c r="F48" i="13"/>
  <c r="D48" i="13" s="1"/>
  <c r="H28" i="13"/>
  <c r="H29" i="13" s="1"/>
  <c r="I28" i="12"/>
  <c r="I29" i="12" s="1"/>
  <c r="G39" i="12"/>
  <c r="F50" i="11"/>
  <c r="F38" i="11"/>
  <c r="F39" i="11"/>
  <c r="F48" i="11"/>
  <c r="F37" i="11"/>
  <c r="H28" i="11"/>
  <c r="H29" i="11" s="1"/>
  <c r="G37" i="10"/>
  <c r="G39" i="10"/>
  <c r="I28" i="10"/>
  <c r="I29" i="10" s="1"/>
  <c r="G37" i="9"/>
  <c r="G48" i="9"/>
  <c r="G50" i="9"/>
  <c r="I28" i="9"/>
  <c r="I29" i="9" s="1"/>
  <c r="AE35" i="8"/>
  <c r="AH34" i="8"/>
  <c r="AI35" i="8"/>
  <c r="AG33" i="8"/>
  <c r="AF34" i="8"/>
  <c r="AI34" i="8"/>
  <c r="AD33" i="8"/>
  <c r="T34" i="8"/>
  <c r="J35" i="8"/>
  <c r="Z35" i="8"/>
  <c r="U34" i="8"/>
  <c r="W35" i="8"/>
  <c r="M34" i="8"/>
  <c r="AE33" i="8"/>
  <c r="AH35" i="8"/>
  <c r="AH33" i="8"/>
  <c r="H34" i="8"/>
  <c r="X34" i="8"/>
  <c r="N35" i="8"/>
  <c r="AD35" i="8"/>
  <c r="O33" i="8"/>
  <c r="Q34" i="8"/>
  <c r="F44" i="8"/>
  <c r="F48" i="8" s="1"/>
  <c r="W33" i="8"/>
  <c r="AI33" i="8"/>
  <c r="AG34" i="8"/>
  <c r="AF35" i="8"/>
  <c r="H28" i="8"/>
  <c r="H29" i="8" s="1"/>
  <c r="F38" i="7"/>
  <c r="F47" i="7"/>
  <c r="G47" i="7" s="1"/>
  <c r="H47" i="7" s="1"/>
  <c r="H28" i="7"/>
  <c r="H29" i="7" s="1"/>
  <c r="F36" i="7"/>
  <c r="AB95" i="6"/>
  <c r="AA95" i="6"/>
  <c r="Z16" i="6"/>
  <c r="J16" i="6"/>
  <c r="P15" i="6"/>
  <c r="U16" i="6"/>
  <c r="AE15" i="6"/>
  <c r="O15" i="6"/>
  <c r="Y14" i="6"/>
  <c r="I14" i="6"/>
  <c r="G16" i="6"/>
  <c r="T16" i="6"/>
  <c r="Y15" i="6"/>
  <c r="T14" i="6"/>
  <c r="X16" i="6"/>
  <c r="S16" i="6"/>
  <c r="J15" i="6"/>
  <c r="P16" i="6"/>
  <c r="R14" i="6"/>
  <c r="H15" i="6"/>
  <c r="U15" i="6"/>
  <c r="T96" i="6"/>
  <c r="AG94" i="6"/>
  <c r="AF94" i="6"/>
  <c r="AG96" i="6"/>
  <c r="V16" i="6"/>
  <c r="AB15" i="6"/>
  <c r="Q16" i="6"/>
  <c r="AA15" i="6"/>
  <c r="K15" i="6"/>
  <c r="U14" i="6"/>
  <c r="O14" i="6"/>
  <c r="W16" i="6"/>
  <c r="G14" i="6"/>
  <c r="O16" i="6"/>
  <c r="N15" i="6"/>
  <c r="W14" i="6"/>
  <c r="H14" i="6"/>
  <c r="R15" i="6"/>
  <c r="AB16" i="6"/>
  <c r="V14" i="6"/>
  <c r="L15" i="6"/>
  <c r="K16" i="6"/>
  <c r="Q94" i="6"/>
  <c r="P94" i="6"/>
  <c r="V95" i="6"/>
  <c r="R16" i="6"/>
  <c r="X15" i="6"/>
  <c r="AC16" i="6"/>
  <c r="M16" i="6"/>
  <c r="W15" i="6"/>
  <c r="G15" i="6"/>
  <c r="G17" i="6" s="1"/>
  <c r="H17" i="6" s="1"/>
  <c r="Q14" i="6"/>
  <c r="AE14" i="6"/>
  <c r="X14" i="6"/>
  <c r="S14" i="6"/>
  <c r="AE16" i="6"/>
  <c r="AD15" i="6"/>
  <c r="M15" i="6"/>
  <c r="P14" i="6"/>
  <c r="Z15" i="6"/>
  <c r="J14" i="6"/>
  <c r="Z14" i="6"/>
  <c r="K14" i="6"/>
  <c r="AA16" i="6"/>
  <c r="R70" i="6"/>
  <c r="V71" i="6"/>
  <c r="Q71" i="6"/>
  <c r="M72" i="6"/>
  <c r="P72" i="6"/>
  <c r="AG37" i="6"/>
  <c r="AC25" i="6"/>
  <c r="V72" i="6"/>
  <c r="AB70" i="6"/>
  <c r="X71" i="6"/>
  <c r="W71" i="6"/>
  <c r="AA72" i="6"/>
  <c r="N71" i="6"/>
  <c r="T36" i="6"/>
  <c r="N72" i="6"/>
  <c r="T70" i="6"/>
  <c r="AC72" i="6"/>
  <c r="P71" i="6"/>
  <c r="O71" i="6"/>
  <c r="S72" i="6"/>
  <c r="Y70" i="6"/>
  <c r="S38" i="6"/>
  <c r="AN37" i="6"/>
  <c r="W25" i="6"/>
  <c r="R27" i="6"/>
  <c r="Y25" i="6"/>
  <c r="Y71" i="6"/>
  <c r="U72" i="6"/>
  <c r="W70" i="6"/>
  <c r="X72" i="6"/>
  <c r="Z70" i="6"/>
  <c r="AD71" i="6"/>
  <c r="Q70" i="6"/>
  <c r="R37" i="6"/>
  <c r="AL38" i="6"/>
  <c r="W36" i="6"/>
  <c r="AD26" i="6"/>
  <c r="P82" i="6"/>
  <c r="X83" i="6"/>
  <c r="O38" i="6"/>
  <c r="AO36" i="6"/>
  <c r="Z38" i="6"/>
  <c r="U37" i="6"/>
  <c r="AO38" i="6"/>
  <c r="X37" i="6"/>
  <c r="S36" i="6"/>
  <c r="S27" i="6"/>
  <c r="G25" i="6"/>
  <c r="X26" i="6"/>
  <c r="U25" i="6"/>
  <c r="AL36" i="6"/>
  <c r="V83" i="6"/>
  <c r="AF84" i="6"/>
  <c r="AL83" i="6"/>
  <c r="R83" i="6"/>
  <c r="W84" i="6"/>
  <c r="Q83" i="6"/>
  <c r="Z84" i="6"/>
  <c r="P83" i="6"/>
  <c r="AC84" i="6"/>
  <c r="AI38" i="6"/>
  <c r="AH37" i="6"/>
  <c r="AC36" i="6"/>
  <c r="V38" i="6"/>
  <c r="AJ36" i="6"/>
  <c r="Y38" i="6"/>
  <c r="T37" i="6"/>
  <c r="AB27" i="6"/>
  <c r="AC26" i="6"/>
  <c r="AQ37" i="6"/>
  <c r="H26" i="6"/>
  <c r="T25" i="6"/>
  <c r="P84" i="6"/>
  <c r="AE84" i="6"/>
  <c r="Y83" i="6"/>
  <c r="S82" i="6"/>
  <c r="AH84" i="6"/>
  <c r="AB84" i="6"/>
  <c r="AH83" i="6"/>
  <c r="AF82" i="6"/>
  <c r="O84" i="6"/>
  <c r="AI82" i="6"/>
  <c r="R84" i="6"/>
  <c r="AH82" i="6"/>
  <c r="AM83" i="6"/>
  <c r="AE38" i="6"/>
  <c r="AD37" i="6"/>
  <c r="Y36" i="6"/>
  <c r="AP38" i="6"/>
  <c r="AK37" i="6"/>
  <c r="AF36" i="6"/>
  <c r="U38" i="6"/>
  <c r="AM36" i="6"/>
  <c r="M26" i="6"/>
  <c r="M27" i="6"/>
  <c r="AA37" i="6"/>
  <c r="R25" i="6"/>
  <c r="I27" i="6"/>
  <c r="N26" i="6"/>
  <c r="AJ38" i="6"/>
  <c r="O37" i="6"/>
  <c r="O39" i="6" s="1"/>
  <c r="B40" i="6" s="1"/>
  <c r="L7" i="5" s="1"/>
  <c r="D24" i="8" s="1"/>
  <c r="Z72" i="6"/>
  <c r="AC71" i="6"/>
  <c r="M71" i="6"/>
  <c r="M73" i="6" s="1"/>
  <c r="P70" i="6"/>
  <c r="Y72" i="6"/>
  <c r="AB71" i="6"/>
  <c r="AA70" i="6"/>
  <c r="AB72" i="6"/>
  <c r="AA71" i="6"/>
  <c r="AD70" i="6"/>
  <c r="N70" i="6"/>
  <c r="W72" i="6"/>
  <c r="Z71" i="6"/>
  <c r="AC70" i="6"/>
  <c r="M70" i="6"/>
  <c r="X27" i="6"/>
  <c r="O27" i="6"/>
  <c r="Y26" i="6"/>
  <c r="I26" i="6"/>
  <c r="S25" i="6"/>
  <c r="AA26" i="6"/>
  <c r="Q25" i="6"/>
  <c r="N27" i="6"/>
  <c r="T26" i="6"/>
  <c r="AD25" i="6"/>
  <c r="N25" i="6"/>
  <c r="W26" i="6"/>
  <c r="M25" i="6"/>
  <c r="L25" i="6"/>
  <c r="X25" i="6"/>
  <c r="R26" i="6"/>
  <c r="H27" i="6"/>
  <c r="T27" i="6"/>
  <c r="AA27" i="6"/>
  <c r="K27" i="6"/>
  <c r="U26" i="6"/>
  <c r="AE25" i="6"/>
  <c r="O25" i="6"/>
  <c r="AC27" i="6"/>
  <c r="S26" i="6"/>
  <c r="AD27" i="6"/>
  <c r="Z27" i="6"/>
  <c r="J27" i="6"/>
  <c r="P26" i="6"/>
  <c r="Z25" i="6"/>
  <c r="J25" i="6"/>
  <c r="Y27" i="6"/>
  <c r="O26" i="6"/>
  <c r="I25" i="6"/>
  <c r="H25" i="6"/>
  <c r="AB25" i="6"/>
  <c r="V26" i="6"/>
  <c r="L27" i="6"/>
  <c r="AE27" i="6"/>
  <c r="R72" i="6"/>
  <c r="U71" i="6"/>
  <c r="X70" i="6"/>
  <c r="Q72" i="6"/>
  <c r="T71" i="6"/>
  <c r="S70" i="6"/>
  <c r="T72" i="6"/>
  <c r="S71" i="6"/>
  <c r="V70" i="6"/>
  <c r="O72" i="6"/>
  <c r="R71" i="6"/>
  <c r="U70" i="6"/>
  <c r="P27" i="6"/>
  <c r="W27" i="6"/>
  <c r="G27" i="6"/>
  <c r="Q26" i="6"/>
  <c r="AA25" i="6"/>
  <c r="K25" i="6"/>
  <c r="U27" i="6"/>
  <c r="K26" i="6"/>
  <c r="V27" i="6"/>
  <c r="AB26" i="6"/>
  <c r="L26" i="6"/>
  <c r="V25" i="6"/>
  <c r="Q27" i="6"/>
  <c r="G26" i="6"/>
  <c r="G28" i="6" s="1"/>
  <c r="AE26" i="6"/>
  <c r="P25" i="6"/>
  <c r="J26" i="6"/>
  <c r="AC49" i="6"/>
  <c r="M49" i="6"/>
  <c r="AB48" i="6"/>
  <c r="L48" i="6"/>
  <c r="W47" i="6"/>
  <c r="AJ49" i="6"/>
  <c r="T49" i="6"/>
  <c r="AE48" i="6"/>
  <c r="O48" i="6"/>
  <c r="AD47" i="6"/>
  <c r="N47" i="6"/>
  <c r="AE49" i="6"/>
  <c r="O49" i="6"/>
  <c r="AD48" i="6"/>
  <c r="N48" i="6"/>
  <c r="AC47" i="6"/>
  <c r="M47" i="6"/>
  <c r="U48" i="6"/>
  <c r="V49" i="6"/>
  <c r="AL49" i="6"/>
  <c r="T47" i="6"/>
  <c r="AB47" i="6"/>
  <c r="Y48" i="6"/>
  <c r="Y49" i="6"/>
  <c r="I49" i="6"/>
  <c r="X48" i="6"/>
  <c r="AI47" i="6"/>
  <c r="S47" i="6"/>
  <c r="AF49" i="6"/>
  <c r="P49" i="6"/>
  <c r="AA48" i="6"/>
  <c r="K48" i="6"/>
  <c r="Z47" i="6"/>
  <c r="J47" i="6"/>
  <c r="AA49" i="6"/>
  <c r="K49" i="6"/>
  <c r="Z48" i="6"/>
  <c r="J48" i="6"/>
  <c r="Y47" i="6"/>
  <c r="I47" i="6"/>
  <c r="X47" i="6"/>
  <c r="Z49" i="6"/>
  <c r="AK49" i="6"/>
  <c r="AF47" i="6"/>
  <c r="J49" i="6"/>
  <c r="AG48" i="6"/>
  <c r="AG49" i="6"/>
  <c r="Q49" i="6"/>
  <c r="AF48" i="6"/>
  <c r="P48" i="6"/>
  <c r="AA47" i="6"/>
  <c r="K47" i="6"/>
  <c r="X49" i="6"/>
  <c r="AI48" i="6"/>
  <c r="S48" i="6"/>
  <c r="AH47" i="6"/>
  <c r="R47" i="6"/>
  <c r="AI49" i="6"/>
  <c r="S49" i="6"/>
  <c r="AH48" i="6"/>
  <c r="R48" i="6"/>
  <c r="AG47" i="6"/>
  <c r="Q47" i="6"/>
  <c r="AK48" i="6"/>
  <c r="R49" i="6"/>
  <c r="AH49" i="6"/>
  <c r="AJ47" i="6"/>
  <c r="P47" i="6"/>
  <c r="L47" i="6"/>
  <c r="Q96" i="6"/>
  <c r="W83" i="6"/>
  <c r="Q82" i="6"/>
  <c r="AB82" i="6"/>
  <c r="AA84" i="6"/>
  <c r="AK83" i="6"/>
  <c r="U83" i="6"/>
  <c r="AE82" i="6"/>
  <c r="O82" i="6"/>
  <c r="AD84" i="6"/>
  <c r="AJ83" i="6"/>
  <c r="T83" i="6"/>
  <c r="AD82" i="6"/>
  <c r="Y84" i="6"/>
  <c r="AI83" i="6"/>
  <c r="S83" i="6"/>
  <c r="AC82" i="6"/>
  <c r="Z82" i="6"/>
  <c r="AK84" i="6"/>
  <c r="U84" i="6"/>
  <c r="AE83" i="6"/>
  <c r="O83" i="6"/>
  <c r="O85" i="6" s="1"/>
  <c r="B86" i="6" s="1"/>
  <c r="L11" i="5" s="1"/>
  <c r="D24" i="12" s="1"/>
  <c r="Y82" i="6"/>
  <c r="T84" i="6"/>
  <c r="AD83" i="6"/>
  <c r="AJ82" i="6"/>
  <c r="T82" i="6"/>
  <c r="AI84" i="6"/>
  <c r="S84" i="6"/>
  <c r="AC83" i="6"/>
  <c r="AM82" i="6"/>
  <c r="W82" i="6"/>
  <c r="AL84" i="6"/>
  <c r="V84" i="6"/>
  <c r="AB83" i="6"/>
  <c r="AL82" i="6"/>
  <c r="V82" i="6"/>
  <c r="AG84" i="6"/>
  <c r="Q84" i="6"/>
  <c r="AA83" i="6"/>
  <c r="AK82" i="6"/>
  <c r="U82" i="6"/>
  <c r="AC48" i="6"/>
  <c r="Q37" i="6"/>
  <c r="P36" i="6"/>
  <c r="AK38" i="6"/>
  <c r="AJ37" i="6"/>
  <c r="AI36" i="6"/>
  <c r="AA38" i="6"/>
  <c r="AP37" i="6"/>
  <c r="Z37" i="6"/>
  <c r="U36" i="6"/>
  <c r="AH38" i="6"/>
  <c r="R38" i="6"/>
  <c r="AC37" i="6"/>
  <c r="AR36" i="6"/>
  <c r="AB36" i="6"/>
  <c r="AG38" i="6"/>
  <c r="Q38" i="6"/>
  <c r="AF37" i="6"/>
  <c r="P37" i="6"/>
  <c r="AE36" i="6"/>
  <c r="O36" i="6"/>
  <c r="AR38" i="6"/>
  <c r="AD36" i="6"/>
  <c r="AM37" i="6"/>
  <c r="R36" i="6"/>
  <c r="AK36" i="6"/>
  <c r="AM38" i="6"/>
  <c r="W38" i="6"/>
  <c r="AL37" i="6"/>
  <c r="V37" i="6"/>
  <c r="AG36" i="6"/>
  <c r="Q36" i="6"/>
  <c r="AD38" i="6"/>
  <c r="AO37" i="6"/>
  <c r="Y37" i="6"/>
  <c r="AN36" i="6"/>
  <c r="X36" i="6"/>
  <c r="AC38" i="6"/>
  <c r="AR37" i="6"/>
  <c r="AB37" i="6"/>
  <c r="AQ36" i="6"/>
  <c r="AA36" i="6"/>
  <c r="AB38" i="6"/>
  <c r="S37" i="6"/>
  <c r="AI37" i="6"/>
  <c r="X38" i="6"/>
  <c r="S96" i="6"/>
  <c r="V96" i="6"/>
  <c r="W95" i="6"/>
  <c r="AB94" i="6"/>
  <c r="AC96" i="6"/>
  <c r="AH95" i="6"/>
  <c r="R95" i="6"/>
  <c r="S94" i="6"/>
  <c r="AF96" i="6"/>
  <c r="U95" i="6"/>
  <c r="X95" i="6"/>
  <c r="AB96" i="6"/>
  <c r="AG95" i="6"/>
  <c r="Q95" i="6"/>
  <c r="V94" i="6"/>
  <c r="AE96" i="6"/>
  <c r="O96" i="6"/>
  <c r="T95" i="6"/>
  <c r="Y94" i="6"/>
  <c r="AH96" i="6"/>
  <c r="R96" i="6"/>
  <c r="S95" i="6"/>
  <c r="X94" i="6"/>
  <c r="Y96" i="6"/>
  <c r="AD95" i="6"/>
  <c r="AE94" i="6"/>
  <c r="O94" i="6"/>
  <c r="Z36" i="6"/>
  <c r="P96" i="6"/>
  <c r="Z94" i="6"/>
  <c r="AC94" i="6"/>
  <c r="X96" i="6"/>
  <c r="AC95" i="6"/>
  <c r="AH94" i="6"/>
  <c r="R94" i="6"/>
  <c r="AA96" i="6"/>
  <c r="AF95" i="6"/>
  <c r="P95" i="6"/>
  <c r="U94" i="6"/>
  <c r="AD96" i="6"/>
  <c r="AE95" i="6"/>
  <c r="O95" i="6"/>
  <c r="T94" i="6"/>
  <c r="U96" i="6"/>
  <c r="Z95" i="6"/>
  <c r="AH36" i="6"/>
  <c r="AF38" i="6"/>
  <c r="AN38" i="6"/>
  <c r="AP36" i="6"/>
  <c r="V36" i="6"/>
  <c r="P38" i="6"/>
  <c r="W37" i="6"/>
  <c r="T38" i="6"/>
  <c r="AE37" i="6"/>
  <c r="D27" i="3" l="1"/>
  <c r="E27" i="3" s="1"/>
  <c r="D34" i="30"/>
  <c r="E34" i="30" s="1"/>
  <c r="G36" i="7"/>
  <c r="I47" i="7"/>
  <c r="J47" i="7" s="1"/>
  <c r="Q61" i="6"/>
  <c r="R61" i="6" s="1"/>
  <c r="S61" i="6" s="1"/>
  <c r="T61" i="6" s="1"/>
  <c r="U61" i="6" s="1"/>
  <c r="V61" i="6" s="1"/>
  <c r="W61" i="6" s="1"/>
  <c r="X61" i="6" s="1"/>
  <c r="Y61" i="6" s="1"/>
  <c r="Z61" i="6" s="1"/>
  <c r="AA61" i="6" s="1"/>
  <c r="AB61" i="6" s="1"/>
  <c r="AC61" i="6" s="1"/>
  <c r="AD61" i="6" s="1"/>
  <c r="AE61" i="6" s="1"/>
  <c r="AF61" i="6" s="1"/>
  <c r="AG61" i="6" s="1"/>
  <c r="AH61" i="6" s="1"/>
  <c r="I17" i="6"/>
  <c r="J17" i="6" s="1"/>
  <c r="K17" i="6" s="1"/>
  <c r="L17" i="6" s="1"/>
  <c r="M17" i="6" s="1"/>
  <c r="N17" i="6" s="1"/>
  <c r="O17" i="6" s="1"/>
  <c r="B18" i="6" s="1"/>
  <c r="L5" i="5" s="1"/>
  <c r="D24" i="1" s="1"/>
  <c r="E65" i="1" s="1"/>
  <c r="D46" i="8"/>
  <c r="D33" i="7"/>
  <c r="G8" i="7" s="1"/>
  <c r="C6" i="3" s="1"/>
  <c r="D45" i="8"/>
  <c r="G36" i="8"/>
  <c r="H36" i="8" s="1"/>
  <c r="I36" i="8" s="1"/>
  <c r="J36" i="8" s="1"/>
  <c r="K36" i="8" s="1"/>
  <c r="L36" i="8" s="1"/>
  <c r="M36" i="8" s="1"/>
  <c r="N36" i="8" s="1"/>
  <c r="O36" i="8" s="1"/>
  <c r="P36" i="8" s="1"/>
  <c r="Q36" i="8" s="1"/>
  <c r="R36" i="8" s="1"/>
  <c r="S36" i="8" s="1"/>
  <c r="T36" i="8" s="1"/>
  <c r="U36" i="8" s="1"/>
  <c r="V36" i="8" s="1"/>
  <c r="W36" i="8" s="1"/>
  <c r="X36" i="8" s="1"/>
  <c r="Y36" i="8" s="1"/>
  <c r="Z36" i="8" s="1"/>
  <c r="AA36" i="8" s="1"/>
  <c r="AB36" i="8" s="1"/>
  <c r="AC36" i="8" s="1"/>
  <c r="AD36" i="8" s="1"/>
  <c r="AE36" i="8" s="1"/>
  <c r="AF36" i="8" s="1"/>
  <c r="AG36" i="8" s="1"/>
  <c r="AH36" i="8" s="1"/>
  <c r="AI36" i="8" s="1"/>
  <c r="D34" i="7"/>
  <c r="F49" i="8"/>
  <c r="I28" i="1"/>
  <c r="H29" i="1"/>
  <c r="K13" i="3"/>
  <c r="C12" i="3"/>
  <c r="H36" i="7"/>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K47" i="7"/>
  <c r="L47" i="7" s="1"/>
  <c r="M47" i="7" s="1"/>
  <c r="N47" i="7" s="1"/>
  <c r="F38" i="8"/>
  <c r="D45" i="7"/>
  <c r="D44" i="7"/>
  <c r="C8" i="3"/>
  <c r="K28" i="16"/>
  <c r="K29" i="16" s="1"/>
  <c r="I37" i="16"/>
  <c r="I39" i="16"/>
  <c r="I38" i="16"/>
  <c r="K28" i="15"/>
  <c r="K29" i="15" s="1"/>
  <c r="I38" i="15"/>
  <c r="I39" i="15"/>
  <c r="I37" i="15"/>
  <c r="D44" i="8"/>
  <c r="D35" i="8"/>
  <c r="J49" i="14"/>
  <c r="J48" i="14"/>
  <c r="J50" i="14"/>
  <c r="J38" i="14"/>
  <c r="J37" i="14"/>
  <c r="J39" i="14"/>
  <c r="L28" i="14"/>
  <c r="L29" i="14" s="1"/>
  <c r="D35" i="7"/>
  <c r="J50" i="6"/>
  <c r="K50" i="6" s="1"/>
  <c r="L50" i="6" s="1"/>
  <c r="M50" i="6" s="1"/>
  <c r="N50" i="6" s="1"/>
  <c r="O50" i="6" s="1"/>
  <c r="P50" i="6" s="1"/>
  <c r="Q50" i="6" s="1"/>
  <c r="R50" i="6" s="1"/>
  <c r="S50" i="6" s="1"/>
  <c r="T50" i="6" s="1"/>
  <c r="U50" i="6" s="1"/>
  <c r="V50" i="6" s="1"/>
  <c r="W50" i="6" s="1"/>
  <c r="X50" i="6" s="1"/>
  <c r="Y50" i="6" s="1"/>
  <c r="Z50" i="6" s="1"/>
  <c r="AA50" i="6" s="1"/>
  <c r="AB50" i="6" s="1"/>
  <c r="AC50" i="6" s="1"/>
  <c r="AD50" i="6" s="1"/>
  <c r="AE50" i="6" s="1"/>
  <c r="AF50" i="6" s="1"/>
  <c r="AG50" i="6" s="1"/>
  <c r="AH50" i="6" s="1"/>
  <c r="AI50" i="6" s="1"/>
  <c r="AJ50" i="6" s="1"/>
  <c r="AK50" i="6" s="1"/>
  <c r="AL50" i="6" s="1"/>
  <c r="D46" i="7"/>
  <c r="G39" i="7"/>
  <c r="D33" i="8"/>
  <c r="G8" i="8" s="1"/>
  <c r="K53" i="8"/>
  <c r="L54" i="8"/>
  <c r="G13" i="8"/>
  <c r="H53" i="8"/>
  <c r="L55" i="8"/>
  <c r="J54" i="8"/>
  <c r="E65" i="8"/>
  <c r="BB63" i="8" s="1"/>
  <c r="I54" i="8"/>
  <c r="G55" i="8"/>
  <c r="H55" i="8"/>
  <c r="E56" i="8"/>
  <c r="K55" i="8"/>
  <c r="G54" i="8"/>
  <c r="G53" i="8"/>
  <c r="J55" i="8"/>
  <c r="J53" i="8"/>
  <c r="H54" i="8"/>
  <c r="I55" i="8"/>
  <c r="L53" i="8"/>
  <c r="K54" i="8"/>
  <c r="I53" i="8"/>
  <c r="J54" i="12"/>
  <c r="L53" i="12"/>
  <c r="G13" i="12"/>
  <c r="L55" i="12"/>
  <c r="H53" i="12"/>
  <c r="H57" i="12" s="1"/>
  <c r="H55" i="12"/>
  <c r="H59" i="12" s="1"/>
  <c r="I55" i="12"/>
  <c r="L54" i="12"/>
  <c r="K53" i="12"/>
  <c r="E56" i="12"/>
  <c r="K55" i="12"/>
  <c r="I53" i="12"/>
  <c r="J55" i="12"/>
  <c r="I54" i="12"/>
  <c r="G54" i="12"/>
  <c r="J53" i="12"/>
  <c r="G55" i="12"/>
  <c r="K54" i="12"/>
  <c r="H54" i="12"/>
  <c r="H58" i="12" s="1"/>
  <c r="G53" i="12"/>
  <c r="E65" i="12"/>
  <c r="E65" i="10"/>
  <c r="E56" i="10"/>
  <c r="G13" i="10"/>
  <c r="I55" i="10"/>
  <c r="J55" i="10"/>
  <c r="I54" i="10"/>
  <c r="K54" i="10"/>
  <c r="H55" i="10"/>
  <c r="H59" i="10" s="1"/>
  <c r="L55" i="10"/>
  <c r="G54" i="10"/>
  <c r="K55" i="10"/>
  <c r="J54" i="10"/>
  <c r="J53" i="10"/>
  <c r="G53" i="10"/>
  <c r="I53" i="10"/>
  <c r="L54" i="10"/>
  <c r="L53" i="10"/>
  <c r="H54" i="10"/>
  <c r="H58" i="10" s="1"/>
  <c r="K53" i="10"/>
  <c r="H53" i="10"/>
  <c r="H57" i="10" s="1"/>
  <c r="G55" i="10"/>
  <c r="G49" i="11"/>
  <c r="G48" i="11"/>
  <c r="G50" i="11"/>
  <c r="I28" i="13"/>
  <c r="I29" i="13" s="1"/>
  <c r="G39" i="13"/>
  <c r="G38" i="13"/>
  <c r="G37" i="13"/>
  <c r="J28" i="12"/>
  <c r="J29" i="12" s="1"/>
  <c r="H38" i="12"/>
  <c r="H37" i="12"/>
  <c r="D48" i="12"/>
  <c r="D50" i="12"/>
  <c r="H39" i="12"/>
  <c r="D49" i="12"/>
  <c r="I28" i="11"/>
  <c r="I29" i="11" s="1"/>
  <c r="G38" i="11"/>
  <c r="G39" i="11"/>
  <c r="G37" i="11"/>
  <c r="J28" i="10"/>
  <c r="J29" i="10" s="1"/>
  <c r="H37" i="10"/>
  <c r="H38" i="10"/>
  <c r="H39" i="10"/>
  <c r="H48" i="9"/>
  <c r="H49" i="9"/>
  <c r="H50" i="9"/>
  <c r="H38" i="9"/>
  <c r="H37" i="9"/>
  <c r="H39" i="9"/>
  <c r="J28" i="9"/>
  <c r="J29" i="9" s="1"/>
  <c r="D34" i="8"/>
  <c r="G38" i="8"/>
  <c r="I28" i="8"/>
  <c r="I29" i="8" s="1"/>
  <c r="G49" i="7"/>
  <c r="G50" i="7"/>
  <c r="I28" i="7"/>
  <c r="I29" i="7" s="1"/>
  <c r="G37" i="7"/>
  <c r="G48" i="7"/>
  <c r="O97" i="6"/>
  <c r="B98" i="6" s="1"/>
  <c r="L12" i="5" s="1"/>
  <c r="D24" i="13" s="1"/>
  <c r="N73" i="6"/>
  <c r="O73" i="6" s="1"/>
  <c r="B74" i="6" s="1"/>
  <c r="L10" i="5" s="1"/>
  <c r="D24" i="11" s="1"/>
  <c r="H28" i="6"/>
  <c r="I28" i="6" s="1"/>
  <c r="J28" i="6" s="1"/>
  <c r="K28" i="6" s="1"/>
  <c r="L28" i="6" s="1"/>
  <c r="M28" i="6" s="1"/>
  <c r="N28" i="6" s="1"/>
  <c r="O28" i="6" s="1"/>
  <c r="P85" i="6"/>
  <c r="Q85" i="6" s="1"/>
  <c r="R85" i="6" s="1"/>
  <c r="S85" i="6" s="1"/>
  <c r="T85" i="6" s="1"/>
  <c r="U85" i="6" s="1"/>
  <c r="V85" i="6" s="1"/>
  <c r="W85" i="6" s="1"/>
  <c r="X85" i="6" s="1"/>
  <c r="Y85" i="6" s="1"/>
  <c r="Z85" i="6" s="1"/>
  <c r="AA85" i="6" s="1"/>
  <c r="AB85" i="6" s="1"/>
  <c r="AC85" i="6" s="1"/>
  <c r="AD85" i="6" s="1"/>
  <c r="AE85" i="6" s="1"/>
  <c r="AF85" i="6" s="1"/>
  <c r="AG85" i="6" s="1"/>
  <c r="AH85" i="6" s="1"/>
  <c r="AI85" i="6" s="1"/>
  <c r="AJ85" i="6" s="1"/>
  <c r="AK85" i="6" s="1"/>
  <c r="AL85" i="6" s="1"/>
  <c r="AM85" i="6" s="1"/>
  <c r="P39" i="6"/>
  <c r="Q39" i="6" s="1"/>
  <c r="R39" i="6" s="1"/>
  <c r="S39" i="6" s="1"/>
  <c r="T39" i="6" s="1"/>
  <c r="U39" i="6" s="1"/>
  <c r="V39" i="6" s="1"/>
  <c r="W39" i="6" s="1"/>
  <c r="X39" i="6" s="1"/>
  <c r="Y39" i="6" s="1"/>
  <c r="Z39" i="6" s="1"/>
  <c r="AA39" i="6" s="1"/>
  <c r="AB39" i="6" s="1"/>
  <c r="AC39" i="6" s="1"/>
  <c r="AD39" i="6" s="1"/>
  <c r="AE39" i="6" s="1"/>
  <c r="AF39" i="6" s="1"/>
  <c r="AG39" i="6" s="1"/>
  <c r="AH39" i="6" s="1"/>
  <c r="AI39" i="6" s="1"/>
  <c r="AJ39" i="6" s="1"/>
  <c r="AK39" i="6" s="1"/>
  <c r="AL39" i="6" s="1"/>
  <c r="AM39" i="6" s="1"/>
  <c r="AN39" i="6" s="1"/>
  <c r="AO39" i="6" s="1"/>
  <c r="AP39" i="6" s="1"/>
  <c r="AQ39" i="6" s="1"/>
  <c r="AR39" i="6" s="1"/>
  <c r="BJ63" i="8" l="1"/>
  <c r="P17" i="6"/>
  <c r="Q17" i="6" s="1"/>
  <c r="R17" i="6" s="1"/>
  <c r="S17" i="6" s="1"/>
  <c r="T17" i="6" s="1"/>
  <c r="U17" i="6" s="1"/>
  <c r="V17" i="6" s="1"/>
  <c r="W17" i="6" s="1"/>
  <c r="X17" i="6" s="1"/>
  <c r="Y17" i="6" s="1"/>
  <c r="Z17" i="6" s="1"/>
  <c r="AA17" i="6" s="1"/>
  <c r="AB17" i="6" s="1"/>
  <c r="AC17" i="6" s="1"/>
  <c r="AD17" i="6" s="1"/>
  <c r="AE17" i="6" s="1"/>
  <c r="BI64" i="8"/>
  <c r="BG64" i="8"/>
  <c r="BG63" i="8"/>
  <c r="BF64" i="8"/>
  <c r="J28" i="1"/>
  <c r="I29" i="1"/>
  <c r="C7" i="3"/>
  <c r="G56" i="8"/>
  <c r="H56" i="8" s="1"/>
  <c r="I56" i="8" s="1"/>
  <c r="J56" i="8" s="1"/>
  <c r="K56" i="8" s="1"/>
  <c r="L56" i="8" s="1"/>
  <c r="L28" i="16"/>
  <c r="L29" i="16" s="1"/>
  <c r="J39" i="16"/>
  <c r="J38" i="16"/>
  <c r="J37" i="16"/>
  <c r="J39" i="15"/>
  <c r="J37" i="15"/>
  <c r="J38" i="15"/>
  <c r="L28" i="15"/>
  <c r="L29" i="15" s="1"/>
  <c r="BL64" i="8"/>
  <c r="BA63" i="8"/>
  <c r="BC64" i="8"/>
  <c r="BD63" i="8"/>
  <c r="BJ64" i="8"/>
  <c r="K48" i="14"/>
  <c r="K50" i="14"/>
  <c r="K49" i="14"/>
  <c r="M28" i="14"/>
  <c r="M29" i="14" s="1"/>
  <c r="K37" i="14"/>
  <c r="K39" i="14"/>
  <c r="K38" i="14"/>
  <c r="G56" i="12"/>
  <c r="H56" i="12" s="1"/>
  <c r="I56" i="12" s="1"/>
  <c r="J56" i="12" s="1"/>
  <c r="K56" i="12" s="1"/>
  <c r="L56" i="12" s="1"/>
  <c r="BH64" i="8"/>
  <c r="BM64" i="8"/>
  <c r="BE64" i="8"/>
  <c r="BE63" i="8"/>
  <c r="BF63" i="8"/>
  <c r="P97" i="6"/>
  <c r="Q97" i="6" s="1"/>
  <c r="R97" i="6" s="1"/>
  <c r="S97" i="6" s="1"/>
  <c r="T97" i="6" s="1"/>
  <c r="U97" i="6" s="1"/>
  <c r="V97" i="6" s="1"/>
  <c r="W97" i="6" s="1"/>
  <c r="X97" i="6" s="1"/>
  <c r="Y97" i="6" s="1"/>
  <c r="Z97" i="6" s="1"/>
  <c r="AA97" i="6" s="1"/>
  <c r="AB97" i="6" s="1"/>
  <c r="AC97" i="6" s="1"/>
  <c r="AD97" i="6" s="1"/>
  <c r="AE97" i="6" s="1"/>
  <c r="AF97" i="6" s="1"/>
  <c r="AG97" i="6" s="1"/>
  <c r="AH97" i="6" s="1"/>
  <c r="BK63" i="8"/>
  <c r="BC63" i="8"/>
  <c r="BD64" i="8"/>
  <c r="BM63" i="8"/>
  <c r="P28" i="6"/>
  <c r="Q28" i="6" s="1"/>
  <c r="R28" i="6" s="1"/>
  <c r="S28" i="6" s="1"/>
  <c r="T28" i="6" s="1"/>
  <c r="U28" i="6" s="1"/>
  <c r="V28" i="6" s="1"/>
  <c r="W28" i="6" s="1"/>
  <c r="X28" i="6" s="1"/>
  <c r="Y28" i="6" s="1"/>
  <c r="Z28" i="6" s="1"/>
  <c r="AA28" i="6" s="1"/>
  <c r="AB28" i="6" s="1"/>
  <c r="AC28" i="6" s="1"/>
  <c r="AD28" i="6" s="1"/>
  <c r="AE28" i="6" s="1"/>
  <c r="B29" i="6"/>
  <c r="L6" i="5" s="1"/>
  <c r="D24" i="7" s="1"/>
  <c r="G13" i="13"/>
  <c r="L55" i="13"/>
  <c r="J53" i="13"/>
  <c r="I53" i="13"/>
  <c r="J55" i="13"/>
  <c r="K53" i="13"/>
  <c r="E56" i="13"/>
  <c r="H55" i="13"/>
  <c r="H59" i="13" s="1"/>
  <c r="K55" i="13"/>
  <c r="I54" i="13"/>
  <c r="I55" i="13"/>
  <c r="G53" i="13"/>
  <c r="K54" i="13"/>
  <c r="G55" i="13"/>
  <c r="L53" i="13"/>
  <c r="L54" i="13"/>
  <c r="H54" i="13"/>
  <c r="H58" i="13" s="1"/>
  <c r="G54" i="13"/>
  <c r="H53" i="13"/>
  <c r="H57" i="13" s="1"/>
  <c r="J54" i="13"/>
  <c r="E65" i="13"/>
  <c r="D53" i="10"/>
  <c r="G57" i="10"/>
  <c r="G56" i="10"/>
  <c r="H56" i="10" s="1"/>
  <c r="I56" i="10" s="1"/>
  <c r="J56" i="10" s="1"/>
  <c r="K56" i="10" s="1"/>
  <c r="L56" i="10" s="1"/>
  <c r="D54" i="10"/>
  <c r="G58" i="10"/>
  <c r="G57" i="12"/>
  <c r="D53" i="12"/>
  <c r="I57" i="12"/>
  <c r="H57" i="8"/>
  <c r="D55" i="10"/>
  <c r="G59" i="10"/>
  <c r="AU64" i="10"/>
  <c r="AE64" i="10"/>
  <c r="O64" i="10"/>
  <c r="AQ63" i="10"/>
  <c r="AA63" i="10"/>
  <c r="BC62" i="10"/>
  <c r="AM62" i="10"/>
  <c r="W62" i="10"/>
  <c r="AX64" i="10"/>
  <c r="AH64" i="10"/>
  <c r="R64" i="10"/>
  <c r="AT63" i="10"/>
  <c r="AD63" i="10"/>
  <c r="N63" i="10"/>
  <c r="AP62" i="10"/>
  <c r="Z62" i="10"/>
  <c r="BA64" i="10"/>
  <c r="AK64" i="10"/>
  <c r="U64" i="10"/>
  <c r="AW63" i="10"/>
  <c r="AG63" i="10"/>
  <c r="Q63" i="10"/>
  <c r="AS62" i="10"/>
  <c r="AC62" i="10"/>
  <c r="AN64" i="10"/>
  <c r="AN62" i="10"/>
  <c r="T64" i="10"/>
  <c r="AZ62" i="10"/>
  <c r="AF64" i="10"/>
  <c r="P63" i="10"/>
  <c r="AR62" i="10"/>
  <c r="M62" i="10"/>
  <c r="AQ64" i="10"/>
  <c r="W64" i="10"/>
  <c r="AU63" i="10"/>
  <c r="W63" i="10"/>
  <c r="AU62" i="10"/>
  <c r="AA62" i="10"/>
  <c r="AT64" i="10"/>
  <c r="Z64" i="10"/>
  <c r="AX63" i="10"/>
  <c r="Z63" i="10"/>
  <c r="AX62" i="10"/>
  <c r="AD62" i="10"/>
  <c r="AW64" i="10"/>
  <c r="AC64" i="10"/>
  <c r="BA63" i="10"/>
  <c r="AC63" i="10"/>
  <c r="BA62" i="10"/>
  <c r="AG62" i="10"/>
  <c r="X64" i="10"/>
  <c r="AZ64" i="10"/>
  <c r="T63" i="10"/>
  <c r="P64" i="10"/>
  <c r="AF62" i="10"/>
  <c r="AB64" i="10"/>
  <c r="AY62" i="10"/>
  <c r="BB62" i="10"/>
  <c r="AR63" i="10"/>
  <c r="AB62" i="10"/>
  <c r="AM64" i="10"/>
  <c r="S64" i="10"/>
  <c r="AM63" i="10"/>
  <c r="S63" i="10"/>
  <c r="AQ62" i="10"/>
  <c r="S62" i="10"/>
  <c r="AP64" i="10"/>
  <c r="V64" i="10"/>
  <c r="AP63" i="10"/>
  <c r="V63" i="10"/>
  <c r="AT62" i="10"/>
  <c r="V62" i="10"/>
  <c r="AS64" i="10"/>
  <c r="Y64" i="10"/>
  <c r="AS63" i="10"/>
  <c r="Y63" i="10"/>
  <c r="AW62" i="10"/>
  <c r="Y62" i="10"/>
  <c r="AN63" i="10"/>
  <c r="AJ64" i="10"/>
  <c r="AJ62" i="10"/>
  <c r="AV63" i="10"/>
  <c r="P62" i="10"/>
  <c r="AE63" i="10"/>
  <c r="BB64" i="10"/>
  <c r="BB63" i="10"/>
  <c r="AH62" i="10"/>
  <c r="AG64" i="10"/>
  <c r="M64" i="10"/>
  <c r="Q62" i="10"/>
  <c r="AJ63" i="10"/>
  <c r="AV64" i="10"/>
  <c r="AR64" i="10"/>
  <c r="BC64" i="10"/>
  <c r="AI64" i="10"/>
  <c r="BC63" i="10"/>
  <c r="AI63" i="10"/>
  <c r="O63" i="10"/>
  <c r="AI62" i="10"/>
  <c r="O62" i="10"/>
  <c r="AL64" i="10"/>
  <c r="N64" i="10"/>
  <c r="AL63" i="10"/>
  <c r="R63" i="10"/>
  <c r="AL62" i="10"/>
  <c r="R62" i="10"/>
  <c r="AO64" i="10"/>
  <c r="Q64" i="10"/>
  <c r="AO63" i="10"/>
  <c r="U63" i="10"/>
  <c r="AO62" i="10"/>
  <c r="U62" i="10"/>
  <c r="X63" i="10"/>
  <c r="AZ63" i="10"/>
  <c r="T62" i="10"/>
  <c r="AF63" i="10"/>
  <c r="AB63" i="10"/>
  <c r="AY64" i="10"/>
  <c r="AA64" i="10"/>
  <c r="AY63" i="10"/>
  <c r="AE62" i="10"/>
  <c r="AD64" i="10"/>
  <c r="AH63" i="10"/>
  <c r="N62" i="10"/>
  <c r="AK63" i="10"/>
  <c r="AK62" i="10"/>
  <c r="X62" i="10"/>
  <c r="AV62" i="10"/>
  <c r="M63" i="10"/>
  <c r="G58" i="12"/>
  <c r="D54" i="12"/>
  <c r="I59" i="12"/>
  <c r="AN64" i="8"/>
  <c r="BE62" i="8"/>
  <c r="BH62" i="8"/>
  <c r="BG62" i="8"/>
  <c r="O62" i="8"/>
  <c r="AL63" i="8"/>
  <c r="X62" i="8"/>
  <c r="AU63" i="8"/>
  <c r="AC62" i="8"/>
  <c r="O64" i="8"/>
  <c r="AL62" i="8"/>
  <c r="X64" i="8"/>
  <c r="S62" i="8"/>
  <c r="AP63" i="8"/>
  <c r="AB62" i="8"/>
  <c r="AY63" i="8"/>
  <c r="AG62" i="8"/>
  <c r="S64" i="8"/>
  <c r="AP62" i="8"/>
  <c r="AB64" i="8"/>
  <c r="N63" i="8"/>
  <c r="AK64" i="8"/>
  <c r="W63" i="8"/>
  <c r="AT64" i="8"/>
  <c r="AF63" i="8"/>
  <c r="N62" i="8"/>
  <c r="AK63" i="8"/>
  <c r="AA62" i="8"/>
  <c r="AX63" i="8"/>
  <c r="AJ62" i="8"/>
  <c r="R64" i="8"/>
  <c r="AO62" i="8"/>
  <c r="AA64" i="8"/>
  <c r="AX62" i="8"/>
  <c r="AJ64" i="8"/>
  <c r="BI62" i="8"/>
  <c r="BL62" i="8"/>
  <c r="BF62" i="8"/>
  <c r="AE62" i="8"/>
  <c r="M64" i="8"/>
  <c r="AN62" i="8"/>
  <c r="V64" i="8"/>
  <c r="AS62" i="8"/>
  <c r="AE64" i="8"/>
  <c r="M63" i="8"/>
  <c r="AI62" i="8"/>
  <c r="Q64" i="8"/>
  <c r="AR62" i="8"/>
  <c r="Z64" i="8"/>
  <c r="AW62" i="8"/>
  <c r="AI64" i="8"/>
  <c r="Q63" i="8"/>
  <c r="AR64" i="8"/>
  <c r="AD63" i="8"/>
  <c r="P62" i="8"/>
  <c r="AM63" i="8"/>
  <c r="U62" i="8"/>
  <c r="AV63" i="8"/>
  <c r="AD62" i="8"/>
  <c r="P64" i="8"/>
  <c r="AQ62" i="8"/>
  <c r="Y64" i="8"/>
  <c r="AZ62" i="8"/>
  <c r="AH64" i="8"/>
  <c r="T63" i="8"/>
  <c r="AQ64" i="8"/>
  <c r="Y63" i="8"/>
  <c r="AZ64" i="8"/>
  <c r="BM62" i="8"/>
  <c r="BK62" i="8"/>
  <c r="BC62" i="8"/>
  <c r="AU62" i="8"/>
  <c r="AC64" i="8"/>
  <c r="O63" i="8"/>
  <c r="AL64" i="8"/>
  <c r="X63" i="8"/>
  <c r="AU64" i="8"/>
  <c r="AC63" i="8"/>
  <c r="AY62" i="8"/>
  <c r="AG64" i="8"/>
  <c r="S63" i="8"/>
  <c r="AP64" i="8"/>
  <c r="AB63" i="8"/>
  <c r="AY64" i="8"/>
  <c r="AG63" i="8"/>
  <c r="W62" i="8"/>
  <c r="AT63" i="8"/>
  <c r="AF62" i="8"/>
  <c r="N64" i="8"/>
  <c r="AK62" i="8"/>
  <c r="W64" i="8"/>
  <c r="AT62" i="8"/>
  <c r="AF64" i="8"/>
  <c r="R63" i="8"/>
  <c r="AO64" i="8"/>
  <c r="AA63" i="8"/>
  <c r="AX64" i="8"/>
  <c r="AJ63" i="8"/>
  <c r="R62" i="8"/>
  <c r="AO63" i="8"/>
  <c r="BA62" i="8"/>
  <c r="BD62" i="8"/>
  <c r="BJ62" i="8"/>
  <c r="BB62" i="8"/>
  <c r="V63" i="8"/>
  <c r="AS64" i="8"/>
  <c r="AE63" i="8"/>
  <c r="M62" i="8"/>
  <c r="AN63" i="8"/>
  <c r="V62" i="8"/>
  <c r="AS63" i="8"/>
  <c r="Z63" i="8"/>
  <c r="AW64" i="8"/>
  <c r="AI63" i="8"/>
  <c r="Q62" i="8"/>
  <c r="AR63" i="8"/>
  <c r="Z62" i="8"/>
  <c r="AW63" i="8"/>
  <c r="AM62" i="8"/>
  <c r="U64" i="8"/>
  <c r="AV62" i="8"/>
  <c r="AD64" i="8"/>
  <c r="P63" i="8"/>
  <c r="AM64" i="8"/>
  <c r="U63" i="8"/>
  <c r="AV64" i="8"/>
  <c r="AH63" i="8"/>
  <c r="T62" i="8"/>
  <c r="AQ63" i="8"/>
  <c r="Y62" i="8"/>
  <c r="AZ63" i="8"/>
  <c r="AH62" i="8"/>
  <c r="T64" i="8"/>
  <c r="I58" i="12"/>
  <c r="G57" i="8"/>
  <c r="D53" i="8"/>
  <c r="H49" i="11"/>
  <c r="D49" i="11" s="1"/>
  <c r="H50" i="11"/>
  <c r="D50" i="11" s="1"/>
  <c r="H48" i="11"/>
  <c r="D48" i="11" s="1"/>
  <c r="E56" i="11"/>
  <c r="I53" i="11"/>
  <c r="M55" i="11"/>
  <c r="M53" i="11"/>
  <c r="K54" i="11"/>
  <c r="I55" i="11"/>
  <c r="J53" i="11"/>
  <c r="N54" i="11"/>
  <c r="K55" i="11"/>
  <c r="N53" i="11"/>
  <c r="J54" i="11"/>
  <c r="M54" i="11"/>
  <c r="N55" i="11"/>
  <c r="L53" i="11"/>
  <c r="I54" i="11"/>
  <c r="J55" i="11"/>
  <c r="L55" i="11"/>
  <c r="K53" i="11"/>
  <c r="L54" i="11"/>
  <c r="E65" i="11"/>
  <c r="G13" i="11"/>
  <c r="BD63" i="12"/>
  <c r="AN62" i="12"/>
  <c r="BD64" i="12"/>
  <c r="AN63" i="12"/>
  <c r="X62" i="12"/>
  <c r="AN64" i="12"/>
  <c r="X63" i="12"/>
  <c r="X64" i="12"/>
  <c r="BD62" i="12"/>
  <c r="AR62" i="12"/>
  <c r="BH63" i="12"/>
  <c r="BC64" i="12"/>
  <c r="AM64" i="12"/>
  <c r="W64" i="12"/>
  <c r="BC63" i="12"/>
  <c r="AM63" i="12"/>
  <c r="W63" i="12"/>
  <c r="BC62" i="12"/>
  <c r="AM62" i="12"/>
  <c r="W62" i="12"/>
  <c r="BB64" i="12"/>
  <c r="AL64" i="12"/>
  <c r="V64" i="12"/>
  <c r="BB63" i="12"/>
  <c r="AL63" i="12"/>
  <c r="V63" i="12"/>
  <c r="BB62" i="12"/>
  <c r="AL62" i="12"/>
  <c r="V62" i="12"/>
  <c r="BA64" i="12"/>
  <c r="AK64" i="12"/>
  <c r="U64" i="12"/>
  <c r="BA63" i="12"/>
  <c r="AK63" i="12"/>
  <c r="U63" i="12"/>
  <c r="BA62" i="12"/>
  <c r="AK62" i="12"/>
  <c r="U62" i="12"/>
  <c r="P62" i="12"/>
  <c r="AF63" i="12"/>
  <c r="AV64" i="12"/>
  <c r="AZ62" i="12"/>
  <c r="T64" i="12"/>
  <c r="BH64" i="12"/>
  <c r="BH62" i="12"/>
  <c r="AB64" i="12"/>
  <c r="AY64" i="12"/>
  <c r="AI64" i="12"/>
  <c r="S64" i="12"/>
  <c r="AY63" i="12"/>
  <c r="AI63" i="12"/>
  <c r="S63" i="12"/>
  <c r="AY62" i="12"/>
  <c r="AI62" i="12"/>
  <c r="S62" i="12"/>
  <c r="AX64" i="12"/>
  <c r="AH64" i="12"/>
  <c r="R64" i="12"/>
  <c r="AX63" i="12"/>
  <c r="AH63" i="12"/>
  <c r="R63" i="12"/>
  <c r="AX62" i="12"/>
  <c r="AH62" i="12"/>
  <c r="R62" i="12"/>
  <c r="AW64" i="12"/>
  <c r="AG64" i="12"/>
  <c r="Q64" i="12"/>
  <c r="AW63" i="12"/>
  <c r="AG63" i="12"/>
  <c r="Q63" i="12"/>
  <c r="AW62" i="12"/>
  <c r="AG62" i="12"/>
  <c r="Q62" i="12"/>
  <c r="AF62" i="12"/>
  <c r="AV63" i="12"/>
  <c r="T63" i="12"/>
  <c r="AJ64" i="12"/>
  <c r="AB63" i="12"/>
  <c r="AR64" i="12"/>
  <c r="AU64" i="12"/>
  <c r="AE64" i="12"/>
  <c r="O64" i="12"/>
  <c r="AU63" i="12"/>
  <c r="AE63" i="12"/>
  <c r="O63" i="12"/>
  <c r="AU62" i="12"/>
  <c r="AE62" i="12"/>
  <c r="O62" i="12"/>
  <c r="AT64" i="12"/>
  <c r="AD64" i="12"/>
  <c r="N64" i="12"/>
  <c r="AT63" i="12"/>
  <c r="AD63" i="12"/>
  <c r="N63" i="12"/>
  <c r="AT62" i="12"/>
  <c r="AD62" i="12"/>
  <c r="N62" i="12"/>
  <c r="AS64" i="12"/>
  <c r="AC64" i="12"/>
  <c r="M64" i="12"/>
  <c r="AS63" i="12"/>
  <c r="AC63" i="12"/>
  <c r="M63" i="12"/>
  <c r="M65" i="12" s="1"/>
  <c r="AS62" i="12"/>
  <c r="AC62" i="12"/>
  <c r="M62" i="12"/>
  <c r="AV62" i="12"/>
  <c r="P64" i="12"/>
  <c r="T62" i="12"/>
  <c r="AJ63" i="12"/>
  <c r="AZ64" i="12"/>
  <c r="AB62" i="12"/>
  <c r="AR63" i="12"/>
  <c r="BG64" i="12"/>
  <c r="AQ64" i="12"/>
  <c r="AA64" i="12"/>
  <c r="BG63" i="12"/>
  <c r="AQ63" i="12"/>
  <c r="AA63" i="12"/>
  <c r="BG62" i="12"/>
  <c r="AQ62" i="12"/>
  <c r="AA62" i="12"/>
  <c r="BF64" i="12"/>
  <c r="AP64" i="12"/>
  <c r="Z64" i="12"/>
  <c r="BF63" i="12"/>
  <c r="AP63" i="12"/>
  <c r="Z63" i="12"/>
  <c r="BF62" i="12"/>
  <c r="AP62" i="12"/>
  <c r="Z62" i="12"/>
  <c r="BE64" i="12"/>
  <c r="AO64" i="12"/>
  <c r="Y64" i="12"/>
  <c r="BE63" i="12"/>
  <c r="AO63" i="12"/>
  <c r="Y63" i="12"/>
  <c r="BE62" i="12"/>
  <c r="AO62" i="12"/>
  <c r="Y62" i="12"/>
  <c r="P63" i="12"/>
  <c r="AF64" i="12"/>
  <c r="AJ62" i="12"/>
  <c r="AZ63" i="12"/>
  <c r="G59" i="12"/>
  <c r="D55" i="12"/>
  <c r="BL63" i="8"/>
  <c r="BA64" i="8"/>
  <c r="BH63" i="8"/>
  <c r="BI63" i="8"/>
  <c r="BB64" i="8"/>
  <c r="BK64" i="8"/>
  <c r="G58" i="8"/>
  <c r="D54" i="8"/>
  <c r="G59" i="8"/>
  <c r="D55" i="8"/>
  <c r="H37" i="13"/>
  <c r="H39" i="13"/>
  <c r="H38" i="13"/>
  <c r="J28" i="13"/>
  <c r="J29" i="13" s="1"/>
  <c r="J57" i="12"/>
  <c r="K28" i="12"/>
  <c r="K29" i="12" s="1"/>
  <c r="I39" i="12"/>
  <c r="I38" i="12"/>
  <c r="I37" i="12"/>
  <c r="J28" i="11"/>
  <c r="J29" i="11" s="1"/>
  <c r="H38" i="11"/>
  <c r="H39" i="11"/>
  <c r="H37" i="11"/>
  <c r="I58" i="10"/>
  <c r="I57" i="10"/>
  <c r="I59" i="10"/>
  <c r="K28" i="10"/>
  <c r="K29" i="10" s="1"/>
  <c r="I39" i="10"/>
  <c r="I37" i="10"/>
  <c r="I38" i="10"/>
  <c r="I49" i="9"/>
  <c r="I48" i="9"/>
  <c r="I50" i="9"/>
  <c r="K28" i="9"/>
  <c r="K29" i="9" s="1"/>
  <c r="I39" i="9"/>
  <c r="I38" i="9"/>
  <c r="I37" i="9"/>
  <c r="H58" i="8"/>
  <c r="H59" i="8"/>
  <c r="H39" i="8"/>
  <c r="H38" i="8"/>
  <c r="H37" i="8"/>
  <c r="J28" i="8"/>
  <c r="J29" i="8" s="1"/>
  <c r="J28" i="7"/>
  <c r="J29" i="7" s="1"/>
  <c r="H48" i="7"/>
  <c r="H50" i="7"/>
  <c r="H49" i="7"/>
  <c r="H37" i="7"/>
  <c r="H39" i="7"/>
  <c r="H38" i="7"/>
  <c r="P73" i="6"/>
  <c r="Q73" i="6" s="1"/>
  <c r="R73" i="6" s="1"/>
  <c r="S73" i="6" s="1"/>
  <c r="T73" i="6" s="1"/>
  <c r="U73" i="6" s="1"/>
  <c r="V73" i="6" s="1"/>
  <c r="W73" i="6" s="1"/>
  <c r="X73" i="6" s="1"/>
  <c r="Y73" i="6" s="1"/>
  <c r="Z73" i="6" s="1"/>
  <c r="AA73" i="6" s="1"/>
  <c r="AB73" i="6" s="1"/>
  <c r="AC73" i="6" s="1"/>
  <c r="AD73" i="6" s="1"/>
  <c r="B51" i="6"/>
  <c r="K28" i="1" l="1"/>
  <c r="J29" i="1"/>
  <c r="N65" i="12"/>
  <c r="O65" i="12" s="1"/>
  <c r="P65" i="12" s="1"/>
  <c r="Q65" i="12" s="1"/>
  <c r="R65" i="12" s="1"/>
  <c r="S65" i="12" s="1"/>
  <c r="T65" i="12" s="1"/>
  <c r="U65" i="12" s="1"/>
  <c r="V65" i="12" s="1"/>
  <c r="W65" i="12" s="1"/>
  <c r="X65" i="12" s="1"/>
  <c r="Y65" i="12" s="1"/>
  <c r="Z65" i="12" s="1"/>
  <c r="AA65" i="12" s="1"/>
  <c r="AB65" i="12" s="1"/>
  <c r="AC65" i="12" s="1"/>
  <c r="AD65" i="12" s="1"/>
  <c r="AE65" i="12" s="1"/>
  <c r="AF65" i="12" s="1"/>
  <c r="AG65" i="12" s="1"/>
  <c r="AH65" i="12" s="1"/>
  <c r="AI65" i="12" s="1"/>
  <c r="AJ65" i="12" s="1"/>
  <c r="AK65" i="12" s="1"/>
  <c r="AL65" i="12" s="1"/>
  <c r="AM65" i="12" s="1"/>
  <c r="AN65" i="12" s="1"/>
  <c r="AO65" i="12" s="1"/>
  <c r="AP65" i="12" s="1"/>
  <c r="AQ65" i="12" s="1"/>
  <c r="AR65" i="12" s="1"/>
  <c r="AS65" i="12" s="1"/>
  <c r="AT65" i="12" s="1"/>
  <c r="AU65" i="12" s="1"/>
  <c r="AV65" i="12" s="1"/>
  <c r="AW65" i="12" s="1"/>
  <c r="AX65" i="12" s="1"/>
  <c r="AY65" i="12" s="1"/>
  <c r="AZ65" i="12" s="1"/>
  <c r="BA65" i="12" s="1"/>
  <c r="BB65" i="12" s="1"/>
  <c r="BC65" i="12" s="1"/>
  <c r="BD65" i="12" s="1"/>
  <c r="BE65" i="12" s="1"/>
  <c r="BF65" i="12" s="1"/>
  <c r="BG65" i="12" s="1"/>
  <c r="BH65" i="12" s="1"/>
  <c r="M28" i="16"/>
  <c r="M29" i="16" s="1"/>
  <c r="K37" i="16"/>
  <c r="K39" i="16"/>
  <c r="K38" i="16"/>
  <c r="M28" i="15"/>
  <c r="M29" i="15" s="1"/>
  <c r="K38" i="15"/>
  <c r="K37" i="15"/>
  <c r="K39" i="15"/>
  <c r="L49" i="14"/>
  <c r="L48" i="14"/>
  <c r="L50" i="14"/>
  <c r="N28" i="14"/>
  <c r="N29" i="14" s="1"/>
  <c r="L37" i="14"/>
  <c r="L39" i="14"/>
  <c r="L38" i="14"/>
  <c r="J58" i="12"/>
  <c r="J59" i="12"/>
  <c r="D62" i="12"/>
  <c r="G14" i="12" s="1"/>
  <c r="AK62" i="11"/>
  <c r="AT62" i="11"/>
  <c r="T62" i="11"/>
  <c r="AO62" i="11"/>
  <c r="AX62" i="11"/>
  <c r="AN62" i="11"/>
  <c r="AC62" i="11"/>
  <c r="AZ62" i="11"/>
  <c r="Z62" i="11"/>
  <c r="AY62" i="11"/>
  <c r="O62" i="11"/>
  <c r="BA62" i="11"/>
  <c r="W62" i="11"/>
  <c r="AR62" i="11"/>
  <c r="AA62" i="11"/>
  <c r="AS62" i="11"/>
  <c r="X62" i="11"/>
  <c r="Q62" i="11"/>
  <c r="AP62" i="11"/>
  <c r="AJ62" i="11"/>
  <c r="AF62" i="11"/>
  <c r="P62" i="11"/>
  <c r="AM62" i="11"/>
  <c r="R62" i="11"/>
  <c r="AQ62" i="11"/>
  <c r="V62" i="11"/>
  <c r="AE62" i="11"/>
  <c r="AG62" i="11"/>
  <c r="S62" i="11"/>
  <c r="AV62" i="11"/>
  <c r="U62" i="11"/>
  <c r="AD62" i="11"/>
  <c r="Y62" i="11"/>
  <c r="AH62" i="11"/>
  <c r="AB62" i="11"/>
  <c r="AL62" i="11"/>
  <c r="AU62" i="11"/>
  <c r="AW62" i="11"/>
  <c r="AI62" i="11"/>
  <c r="Z64" i="11"/>
  <c r="Q63" i="11"/>
  <c r="O64" i="11"/>
  <c r="AI63" i="11"/>
  <c r="AG64" i="11"/>
  <c r="AH64" i="11"/>
  <c r="AD63" i="11"/>
  <c r="AY64" i="11"/>
  <c r="AB64" i="11"/>
  <c r="AF63" i="11"/>
  <c r="BA64" i="11"/>
  <c r="R64" i="11"/>
  <c r="W64" i="11"/>
  <c r="AQ63" i="11"/>
  <c r="T63" i="11"/>
  <c r="AO64" i="11"/>
  <c r="AG63" i="11"/>
  <c r="O63" i="11"/>
  <c r="O65" i="11" s="1"/>
  <c r="AJ64" i="11"/>
  <c r="U63" i="11"/>
  <c r="AX64" i="11"/>
  <c r="AE64" i="11"/>
  <c r="AY63" i="11"/>
  <c r="AB63" i="11"/>
  <c r="AW64" i="11"/>
  <c r="AT63" i="11"/>
  <c r="W63" i="11"/>
  <c r="AR64" i="11"/>
  <c r="AV63" i="11"/>
  <c r="AT64" i="11"/>
  <c r="R63" i="11"/>
  <c r="AM64" i="11"/>
  <c r="P64" i="11"/>
  <c r="AJ63" i="11"/>
  <c r="AA64" i="11"/>
  <c r="AE63" i="11"/>
  <c r="AZ64" i="11"/>
  <c r="AC64" i="11"/>
  <c r="AK63" i="11"/>
  <c r="AP64" i="11"/>
  <c r="AC63" i="11"/>
  <c r="Z63" i="11"/>
  <c r="AU64" i="11"/>
  <c r="X64" i="11"/>
  <c r="AR63" i="11"/>
  <c r="AO63" i="11"/>
  <c r="S64" i="11"/>
  <c r="AM63" i="11"/>
  <c r="U64" i="11"/>
  <c r="Y63" i="11"/>
  <c r="AH63" i="11"/>
  <c r="AF64" i="11"/>
  <c r="AZ63" i="11"/>
  <c r="AD64" i="11"/>
  <c r="AS63" i="11"/>
  <c r="V63" i="11"/>
  <c r="AQ64" i="11"/>
  <c r="AU63" i="11"/>
  <c r="X63" i="11"/>
  <c r="AS64" i="11"/>
  <c r="BA63" i="11"/>
  <c r="AL64" i="11"/>
  <c r="AP63" i="11"/>
  <c r="S63" i="11"/>
  <c r="AN64" i="11"/>
  <c r="Q64" i="11"/>
  <c r="V64" i="11"/>
  <c r="AI64" i="11"/>
  <c r="P63" i="11"/>
  <c r="AK64" i="11"/>
  <c r="AW63" i="11"/>
  <c r="AX63" i="11"/>
  <c r="AA63" i="11"/>
  <c r="AV64" i="11"/>
  <c r="Y64" i="11"/>
  <c r="AL63" i="11"/>
  <c r="T64" i="11"/>
  <c r="AN63" i="11"/>
  <c r="D62" i="8"/>
  <c r="G14" i="8" s="1"/>
  <c r="D64" i="8"/>
  <c r="D63" i="10"/>
  <c r="M65" i="10"/>
  <c r="N65" i="10" s="1"/>
  <c r="O65" i="10" s="1"/>
  <c r="P65" i="10" s="1"/>
  <c r="Q65" i="10" s="1"/>
  <c r="R65" i="10" s="1"/>
  <c r="S65" i="10" s="1"/>
  <c r="T65" i="10" s="1"/>
  <c r="U65" i="10" s="1"/>
  <c r="V65" i="10" s="1"/>
  <c r="W65" i="10" s="1"/>
  <c r="X65" i="10" s="1"/>
  <c r="Y65" i="10" s="1"/>
  <c r="Z65" i="10" s="1"/>
  <c r="AA65" i="10" s="1"/>
  <c r="AB65" i="10" s="1"/>
  <c r="AC65" i="10" s="1"/>
  <c r="AD65" i="10" s="1"/>
  <c r="AE65" i="10" s="1"/>
  <c r="AF65" i="10" s="1"/>
  <c r="AG65" i="10" s="1"/>
  <c r="AH65" i="10" s="1"/>
  <c r="AI65" i="10" s="1"/>
  <c r="AJ65" i="10" s="1"/>
  <c r="AK65" i="10" s="1"/>
  <c r="AL65" i="10" s="1"/>
  <c r="AM65" i="10" s="1"/>
  <c r="AN65" i="10" s="1"/>
  <c r="AO65" i="10" s="1"/>
  <c r="AP65" i="10" s="1"/>
  <c r="AQ65" i="10" s="1"/>
  <c r="AR65" i="10" s="1"/>
  <c r="AS65" i="10" s="1"/>
  <c r="AT65" i="10" s="1"/>
  <c r="AU65" i="10" s="1"/>
  <c r="AV65" i="10" s="1"/>
  <c r="AW65" i="10" s="1"/>
  <c r="AX65" i="10" s="1"/>
  <c r="AY65" i="10" s="1"/>
  <c r="AZ65" i="10" s="1"/>
  <c r="BA65" i="10" s="1"/>
  <c r="BB65" i="10" s="1"/>
  <c r="BC65" i="10" s="1"/>
  <c r="R62" i="13"/>
  <c r="U62" i="13"/>
  <c r="AQ62" i="13"/>
  <c r="AO64" i="13"/>
  <c r="AI63" i="13"/>
  <c r="AX64" i="13"/>
  <c r="AJ63" i="13"/>
  <c r="AY64" i="13"/>
  <c r="AG63" i="13"/>
  <c r="AZ64" i="13"/>
  <c r="AU62" i="13"/>
  <c r="M64" i="13"/>
  <c r="AN62" i="13"/>
  <c r="V64" i="13"/>
  <c r="BA62" i="13"/>
  <c r="AM64" i="13"/>
  <c r="U63" i="13"/>
  <c r="AN64" i="13"/>
  <c r="S62" i="13"/>
  <c r="AH63" i="13"/>
  <c r="AW64" i="13"/>
  <c r="AQ63" i="13"/>
  <c r="AB63" i="13"/>
  <c r="AP62" i="13"/>
  <c r="AR64" i="13"/>
  <c r="M62" i="13"/>
  <c r="BC62" i="13"/>
  <c r="U64" i="13"/>
  <c r="AV62" i="13"/>
  <c r="N64" i="13"/>
  <c r="AS62" i="13"/>
  <c r="O64" i="13"/>
  <c r="AT62" i="13"/>
  <c r="P64" i="13"/>
  <c r="Z63" i="13"/>
  <c r="AJ62" i="13"/>
  <c r="AY63" i="13"/>
  <c r="AG62" i="13"/>
  <c r="AZ63" i="13"/>
  <c r="AH62" i="13"/>
  <c r="AW63" i="13"/>
  <c r="Y62" i="13"/>
  <c r="N63" i="13"/>
  <c r="AC64" i="13"/>
  <c r="W63" i="13"/>
  <c r="AL64" i="13"/>
  <c r="X63" i="13"/>
  <c r="BC64" i="13"/>
  <c r="AK63" i="13"/>
  <c r="AI62" i="13"/>
  <c r="AX63" i="13"/>
  <c r="AB62" i="13"/>
  <c r="Z64" i="13"/>
  <c r="AR63" i="13"/>
  <c r="Y63" i="13"/>
  <c r="T62" i="13"/>
  <c r="V63" i="13"/>
  <c r="AK64" i="13"/>
  <c r="O63" i="13"/>
  <c r="AD64" i="13"/>
  <c r="P63" i="13"/>
  <c r="AE64" i="13"/>
  <c r="M63" i="13"/>
  <c r="M65" i="13" s="1"/>
  <c r="N65" i="13" s="1"/>
  <c r="O65" i="13" s="1"/>
  <c r="AF64" i="13"/>
  <c r="Z62" i="13"/>
  <c r="AP63" i="13"/>
  <c r="AZ62" i="13"/>
  <c r="R64" i="13"/>
  <c r="AW62" i="13"/>
  <c r="S64" i="13"/>
  <c r="AX62" i="13"/>
  <c r="T64" i="13"/>
  <c r="O62" i="13"/>
  <c r="AD63" i="13"/>
  <c r="AS64" i="13"/>
  <c r="AM63" i="13"/>
  <c r="BB64" i="13"/>
  <c r="AN63" i="13"/>
  <c r="AL62" i="13"/>
  <c r="BA63" i="13"/>
  <c r="V62" i="13"/>
  <c r="AY62" i="13"/>
  <c r="Q64" i="13"/>
  <c r="AR62" i="13"/>
  <c r="AP64" i="13"/>
  <c r="AA64" i="13"/>
  <c r="AO63" i="13"/>
  <c r="W62" i="13"/>
  <c r="AL63" i="13"/>
  <c r="BA64" i="13"/>
  <c r="AE63" i="13"/>
  <c r="AT64" i="13"/>
  <c r="AF63" i="13"/>
  <c r="AU64" i="13"/>
  <c r="AC63" i="13"/>
  <c r="AV64" i="13"/>
  <c r="Q62" i="13"/>
  <c r="AA62" i="13"/>
  <c r="Y64" i="13"/>
  <c r="S63" i="13"/>
  <c r="AH64" i="13"/>
  <c r="T63" i="13"/>
  <c r="AI64" i="13"/>
  <c r="Q63" i="13"/>
  <c r="AJ64" i="13"/>
  <c r="AE62" i="13"/>
  <c r="AT63" i="13"/>
  <c r="X62" i="13"/>
  <c r="BC63" i="13"/>
  <c r="AK62" i="13"/>
  <c r="W64" i="13"/>
  <c r="BB62" i="13"/>
  <c r="X64" i="13"/>
  <c r="N62" i="13"/>
  <c r="R63" i="13"/>
  <c r="AG64" i="13"/>
  <c r="AA63" i="13"/>
  <c r="AO62" i="13"/>
  <c r="AQ64" i="13"/>
  <c r="AB64" i="13"/>
  <c r="P62" i="13"/>
  <c r="AM62" i="13"/>
  <c r="BB63" i="13"/>
  <c r="AF62" i="13"/>
  <c r="AU63" i="13"/>
  <c r="AC62" i="13"/>
  <c r="AV63" i="13"/>
  <c r="AD62" i="13"/>
  <c r="AS63" i="13"/>
  <c r="I58" i="11"/>
  <c r="D54" i="11"/>
  <c r="D64" i="10"/>
  <c r="D53" i="13"/>
  <c r="G57" i="13"/>
  <c r="D64" i="12"/>
  <c r="I59" i="11"/>
  <c r="D55" i="11"/>
  <c r="I57" i="11"/>
  <c r="D53" i="11"/>
  <c r="D62" i="10"/>
  <c r="G14" i="10" s="1"/>
  <c r="G56" i="13"/>
  <c r="H56" i="13" s="1"/>
  <c r="I56" i="13" s="1"/>
  <c r="J56" i="13" s="1"/>
  <c r="K56" i="13" s="1"/>
  <c r="L56" i="13" s="1"/>
  <c r="T55" i="7"/>
  <c r="R53" i="7"/>
  <c r="Q53" i="7"/>
  <c r="P53" i="7"/>
  <c r="S53" i="7"/>
  <c r="E65" i="7"/>
  <c r="S54" i="7"/>
  <c r="O55" i="7"/>
  <c r="Q54" i="7"/>
  <c r="T54" i="7"/>
  <c r="R54" i="7"/>
  <c r="P54" i="7"/>
  <c r="G13" i="7"/>
  <c r="P55" i="7"/>
  <c r="R55" i="7"/>
  <c r="O53" i="7"/>
  <c r="S55" i="7"/>
  <c r="O54" i="7"/>
  <c r="T53" i="7"/>
  <c r="E56" i="7"/>
  <c r="Q55" i="7"/>
  <c r="D63" i="12"/>
  <c r="I56" i="11"/>
  <c r="J56" i="11" s="1"/>
  <c r="K56" i="11" s="1"/>
  <c r="L56" i="11" s="1"/>
  <c r="M56" i="11" s="1"/>
  <c r="N56" i="11" s="1"/>
  <c r="M65" i="8"/>
  <c r="N65" i="8" s="1"/>
  <c r="O65" i="8" s="1"/>
  <c r="P65" i="8" s="1"/>
  <c r="Q65" i="8" s="1"/>
  <c r="R65" i="8" s="1"/>
  <c r="S65" i="8" s="1"/>
  <c r="T65" i="8" s="1"/>
  <c r="U65" i="8" s="1"/>
  <c r="V65" i="8" s="1"/>
  <c r="W65" i="8" s="1"/>
  <c r="X65" i="8" s="1"/>
  <c r="Y65" i="8" s="1"/>
  <c r="Z65" i="8" s="1"/>
  <c r="AA65" i="8" s="1"/>
  <c r="AB65" i="8" s="1"/>
  <c r="AC65" i="8" s="1"/>
  <c r="AD65" i="8" s="1"/>
  <c r="AE65" i="8" s="1"/>
  <c r="AF65" i="8" s="1"/>
  <c r="AG65" i="8" s="1"/>
  <c r="AH65" i="8" s="1"/>
  <c r="AI65" i="8" s="1"/>
  <c r="AJ65" i="8" s="1"/>
  <c r="AK65" i="8" s="1"/>
  <c r="AL65" i="8" s="1"/>
  <c r="AM65" i="8" s="1"/>
  <c r="AN65" i="8" s="1"/>
  <c r="AO65" i="8" s="1"/>
  <c r="AP65" i="8" s="1"/>
  <c r="AQ65" i="8" s="1"/>
  <c r="AR65" i="8" s="1"/>
  <c r="AS65" i="8" s="1"/>
  <c r="AT65" i="8" s="1"/>
  <c r="AU65" i="8" s="1"/>
  <c r="AV65" i="8" s="1"/>
  <c r="AW65" i="8" s="1"/>
  <c r="AX65" i="8" s="1"/>
  <c r="AY65" i="8" s="1"/>
  <c r="AZ65" i="8" s="1"/>
  <c r="BA65" i="8" s="1"/>
  <c r="BB65" i="8" s="1"/>
  <c r="BC65" i="8" s="1"/>
  <c r="BD65" i="8" s="1"/>
  <c r="BE65" i="8" s="1"/>
  <c r="BF65" i="8" s="1"/>
  <c r="BG65" i="8" s="1"/>
  <c r="BH65" i="8" s="1"/>
  <c r="BI65" i="8" s="1"/>
  <c r="BJ65" i="8" s="1"/>
  <c r="BK65" i="8" s="1"/>
  <c r="BL65" i="8" s="1"/>
  <c r="BM65" i="8" s="1"/>
  <c r="D63" i="8"/>
  <c r="D54" i="13"/>
  <c r="G58" i="13"/>
  <c r="D55" i="13"/>
  <c r="G59" i="13"/>
  <c r="K28" i="13"/>
  <c r="K29" i="13" s="1"/>
  <c r="I59" i="13"/>
  <c r="I57" i="13"/>
  <c r="I39" i="13"/>
  <c r="I38" i="13"/>
  <c r="I37" i="13"/>
  <c r="I58" i="13"/>
  <c r="J38" i="12"/>
  <c r="J37" i="12"/>
  <c r="J39" i="12"/>
  <c r="L28" i="12"/>
  <c r="L29" i="12" s="1"/>
  <c r="J58" i="11"/>
  <c r="K28" i="11"/>
  <c r="K29" i="11" s="1"/>
  <c r="I39" i="11"/>
  <c r="I38" i="11"/>
  <c r="I37" i="11"/>
  <c r="J57" i="10"/>
  <c r="J58" i="10"/>
  <c r="J59" i="10"/>
  <c r="J37" i="10"/>
  <c r="J39" i="10"/>
  <c r="J38" i="10"/>
  <c r="L28" i="10"/>
  <c r="L29" i="10" s="1"/>
  <c r="J50" i="9"/>
  <c r="J49" i="9"/>
  <c r="J48" i="9"/>
  <c r="L28" i="9"/>
  <c r="L29" i="9" s="1"/>
  <c r="J39" i="9"/>
  <c r="J37" i="9"/>
  <c r="J38" i="9"/>
  <c r="I59" i="8"/>
  <c r="I57" i="8"/>
  <c r="I58" i="8"/>
  <c r="K28" i="8"/>
  <c r="K29" i="8" s="1"/>
  <c r="I38" i="8"/>
  <c r="I39" i="8"/>
  <c r="I37" i="8"/>
  <c r="K28" i="7"/>
  <c r="K29" i="7" s="1"/>
  <c r="I50" i="7"/>
  <c r="I49" i="7"/>
  <c r="I39" i="7"/>
  <c r="I48" i="7"/>
  <c r="I37" i="7"/>
  <c r="I38" i="7"/>
  <c r="B6" i="6"/>
  <c r="L8" i="5"/>
  <c r="P55" i="1"/>
  <c r="Q55" i="1"/>
  <c r="R55" i="1"/>
  <c r="S55" i="1"/>
  <c r="T55" i="1"/>
  <c r="O55" i="1"/>
  <c r="P54" i="1"/>
  <c r="Q54" i="1"/>
  <c r="R54" i="1"/>
  <c r="S54" i="1"/>
  <c r="T54" i="1"/>
  <c r="O54" i="1"/>
  <c r="F28" i="2"/>
  <c r="D12" i="2"/>
  <c r="E47" i="2"/>
  <c r="E36" i="2"/>
  <c r="D22" i="2"/>
  <c r="G13" i="2"/>
  <c r="G12" i="2"/>
  <c r="G7" i="2"/>
  <c r="D60" i="1"/>
  <c r="E56" i="1"/>
  <c r="T53" i="1"/>
  <c r="S53" i="1"/>
  <c r="R53" i="1"/>
  <c r="Q53" i="1"/>
  <c r="P53" i="1"/>
  <c r="O53" i="1"/>
  <c r="D51" i="1"/>
  <c r="E47" i="1"/>
  <c r="D42" i="1"/>
  <c r="D41" i="1"/>
  <c r="D40" i="1"/>
  <c r="E36" i="1"/>
  <c r="D22" i="1"/>
  <c r="D23" i="1" s="1"/>
  <c r="G13" i="1"/>
  <c r="G12" i="1"/>
  <c r="G46" i="1"/>
  <c r="G7" i="1"/>
  <c r="F29" i="2" l="1"/>
  <c r="AQ45" i="2"/>
  <c r="AQ47" i="2" s="1"/>
  <c r="AQ44" i="2"/>
  <c r="AR46" i="2"/>
  <c r="P65" i="13"/>
  <c r="L28" i="1"/>
  <c r="K29" i="1"/>
  <c r="D9" i="3"/>
  <c r="E9" i="3" s="1"/>
  <c r="D7" i="3"/>
  <c r="E7" i="3" s="1"/>
  <c r="D11" i="3"/>
  <c r="E11" i="3" s="1"/>
  <c r="N28" i="16"/>
  <c r="N29" i="16" s="1"/>
  <c r="L39" i="16"/>
  <c r="L37" i="16"/>
  <c r="L38" i="16"/>
  <c r="N28" i="15"/>
  <c r="N29" i="15" s="1"/>
  <c r="L38" i="15"/>
  <c r="L37" i="15"/>
  <c r="L39" i="15"/>
  <c r="F35" i="2"/>
  <c r="F39" i="2" s="1"/>
  <c r="F33" i="2"/>
  <c r="F37" i="2" s="1"/>
  <c r="M49" i="14"/>
  <c r="M48" i="14"/>
  <c r="M50" i="14"/>
  <c r="O28" i="14"/>
  <c r="O29" i="14" s="1"/>
  <c r="M38" i="14"/>
  <c r="M37" i="14"/>
  <c r="M39" i="14"/>
  <c r="O56" i="7"/>
  <c r="P56" i="7" s="1"/>
  <c r="Q56" i="7" s="1"/>
  <c r="R56" i="7" s="1"/>
  <c r="S56" i="7" s="1"/>
  <c r="T56" i="7" s="1"/>
  <c r="Q65" i="13"/>
  <c r="R65" i="13" s="1"/>
  <c r="S65" i="13" s="1"/>
  <c r="T65" i="13" s="1"/>
  <c r="U65" i="13" s="1"/>
  <c r="V65" i="13" s="1"/>
  <c r="W65" i="13" s="1"/>
  <c r="X65" i="13" s="1"/>
  <c r="Y65" i="13" s="1"/>
  <c r="Z65" i="13" s="1"/>
  <c r="AA65" i="13" s="1"/>
  <c r="AB65" i="13" s="1"/>
  <c r="AC65" i="13" s="1"/>
  <c r="AD65" i="13" s="1"/>
  <c r="AE65" i="13" s="1"/>
  <c r="AF65" i="13" s="1"/>
  <c r="AG65" i="13" s="1"/>
  <c r="AH65" i="13" s="1"/>
  <c r="AI65" i="13" s="1"/>
  <c r="AJ65" i="13" s="1"/>
  <c r="AK65" i="13" s="1"/>
  <c r="AL65" i="13" s="1"/>
  <c r="AM65" i="13" s="1"/>
  <c r="AN65" i="13" s="1"/>
  <c r="AO65" i="13" s="1"/>
  <c r="AP65" i="13" s="1"/>
  <c r="AQ65" i="13" s="1"/>
  <c r="AR65" i="13" s="1"/>
  <c r="AS65" i="13" s="1"/>
  <c r="AT65" i="13" s="1"/>
  <c r="AU65" i="13" s="1"/>
  <c r="AV65" i="13" s="1"/>
  <c r="AW65" i="13" s="1"/>
  <c r="AX65" i="13" s="1"/>
  <c r="AY65" i="13" s="1"/>
  <c r="AZ65" i="13" s="1"/>
  <c r="BA65" i="13" s="1"/>
  <c r="BB65" i="13" s="1"/>
  <c r="BC65" i="13" s="1"/>
  <c r="P65" i="11"/>
  <c r="Q65" i="11" s="1"/>
  <c r="R65" i="11" s="1"/>
  <c r="S65" i="11" s="1"/>
  <c r="T65" i="11" s="1"/>
  <c r="U65" i="11" s="1"/>
  <c r="V65" i="11" s="1"/>
  <c r="W65" i="11" s="1"/>
  <c r="X65" i="11" s="1"/>
  <c r="Y65" i="11" s="1"/>
  <c r="Z65" i="11" s="1"/>
  <c r="AA65" i="11" s="1"/>
  <c r="AB65" i="11" s="1"/>
  <c r="AC65" i="11" s="1"/>
  <c r="AD65" i="11" s="1"/>
  <c r="AE65" i="11" s="1"/>
  <c r="AF65" i="11" s="1"/>
  <c r="AG65" i="11" s="1"/>
  <c r="AH65" i="11" s="1"/>
  <c r="AI65" i="11" s="1"/>
  <c r="AJ65" i="11" s="1"/>
  <c r="AK65" i="11" s="1"/>
  <c r="AL65" i="11" s="1"/>
  <c r="AM65" i="11" s="1"/>
  <c r="AN65" i="11" s="1"/>
  <c r="AO65" i="11" s="1"/>
  <c r="AP65" i="11" s="1"/>
  <c r="AQ65" i="11" s="1"/>
  <c r="AR65" i="11" s="1"/>
  <c r="AS65" i="11" s="1"/>
  <c r="AT65" i="11" s="1"/>
  <c r="AU65" i="11" s="1"/>
  <c r="AV65" i="11" s="1"/>
  <c r="AW65" i="11" s="1"/>
  <c r="AX65" i="11" s="1"/>
  <c r="AY65" i="11" s="1"/>
  <c r="AZ65" i="11" s="1"/>
  <c r="BA65" i="11" s="1"/>
  <c r="L13" i="5"/>
  <c r="D24" i="9"/>
  <c r="K58" i="12"/>
  <c r="K57" i="12"/>
  <c r="K59" i="12"/>
  <c r="J57" i="11"/>
  <c r="D64" i="13"/>
  <c r="J59" i="11"/>
  <c r="D53" i="7"/>
  <c r="D55" i="7"/>
  <c r="D63" i="13"/>
  <c r="D62" i="11"/>
  <c r="G14" i="11" s="1"/>
  <c r="D62" i="13"/>
  <c r="G14" i="13" s="1"/>
  <c r="D54" i="7"/>
  <c r="BD64" i="7"/>
  <c r="BA62" i="7"/>
  <c r="AF62" i="7"/>
  <c r="BC62" i="7"/>
  <c r="W62" i="7"/>
  <c r="AD62" i="7"/>
  <c r="U62" i="7"/>
  <c r="AN62" i="7"/>
  <c r="AE62" i="7"/>
  <c r="AX62" i="7"/>
  <c r="AM62" i="7"/>
  <c r="BD62" i="7"/>
  <c r="Y62" i="7"/>
  <c r="AY62" i="7"/>
  <c r="BE62" i="7"/>
  <c r="BG62" i="7"/>
  <c r="AW63" i="7"/>
  <c r="AG62" i="7"/>
  <c r="BH63" i="7"/>
  <c r="AP62" i="7"/>
  <c r="AR64" i="7"/>
  <c r="AZ64" i="7"/>
  <c r="AV62" i="7"/>
  <c r="AO62" i="7"/>
  <c r="BB62" i="7"/>
  <c r="BH62" i="7"/>
  <c r="AI62" i="7"/>
  <c r="AK62" i="7"/>
  <c r="AQ62" i="7"/>
  <c r="AN64" i="7"/>
  <c r="AW62" i="7"/>
  <c r="AI64" i="7"/>
  <c r="BF62" i="7"/>
  <c r="AO63" i="7"/>
  <c r="AC62" i="7"/>
  <c r="AU62" i="7"/>
  <c r="AH62" i="7"/>
  <c r="AR62" i="7"/>
  <c r="AT62" i="7"/>
  <c r="AZ62" i="7"/>
  <c r="AA62" i="7"/>
  <c r="AS63" i="7"/>
  <c r="AP64" i="7"/>
  <c r="AB63" i="7"/>
  <c r="AY64" i="7"/>
  <c r="AG63" i="7"/>
  <c r="X64" i="7"/>
  <c r="AV64" i="7"/>
  <c r="BE63" i="7"/>
  <c r="AL62" i="7"/>
  <c r="X62" i="7"/>
  <c r="AS62" i="7"/>
  <c r="AB62" i="7"/>
  <c r="V62" i="7"/>
  <c r="AJ62" i="7"/>
  <c r="AF64" i="7"/>
  <c r="BF64" i="7"/>
  <c r="AR63" i="7"/>
  <c r="Z62" i="7"/>
  <c r="BA63" i="7"/>
  <c r="AJ64" i="7"/>
  <c r="AE64" i="7"/>
  <c r="Z64" i="7"/>
  <c r="AG64" i="7"/>
  <c r="BH64" i="7"/>
  <c r="AN63" i="7"/>
  <c r="AQ63" i="7"/>
  <c r="Y64" i="7"/>
  <c r="BG64" i="7"/>
  <c r="W63" i="7"/>
  <c r="AU64" i="7"/>
  <c r="AC64" i="7"/>
  <c r="AS64" i="7"/>
  <c r="AJ63" i="7"/>
  <c r="U64" i="7"/>
  <c r="BB63" i="7"/>
  <c r="AY63" i="7"/>
  <c r="AK64" i="7"/>
  <c r="V63" i="7"/>
  <c r="AD63" i="7"/>
  <c r="AZ63" i="7"/>
  <c r="BF63" i="7"/>
  <c r="Y63" i="7"/>
  <c r="BB64" i="7"/>
  <c r="AA63" i="7"/>
  <c r="AX63" i="7"/>
  <c r="BD63" i="7"/>
  <c r="AV63" i="7"/>
  <c r="AL63" i="7"/>
  <c r="AD64" i="7"/>
  <c r="AK63" i="7"/>
  <c r="AF63" i="7"/>
  <c r="AI63" i="7"/>
  <c r="AP63" i="7"/>
  <c r="AQ64" i="7"/>
  <c r="AH64" i="7"/>
  <c r="BE64" i="7"/>
  <c r="AH63" i="7"/>
  <c r="AX64" i="7"/>
  <c r="AT63" i="7"/>
  <c r="AL64" i="7"/>
  <c r="AC63" i="7"/>
  <c r="AB64" i="7"/>
  <c r="AM63" i="7"/>
  <c r="X63" i="7"/>
  <c r="BC64" i="7"/>
  <c r="AT64" i="7"/>
  <c r="AW64" i="7"/>
  <c r="Z63" i="7"/>
  <c r="W64" i="7"/>
  <c r="BG63" i="7"/>
  <c r="AO64" i="7"/>
  <c r="U63" i="7"/>
  <c r="U65" i="7" s="1"/>
  <c r="BC63" i="7"/>
  <c r="AA64" i="7"/>
  <c r="AU63" i="7"/>
  <c r="AE63" i="7"/>
  <c r="AM64" i="7"/>
  <c r="BA64" i="7"/>
  <c r="V64" i="7"/>
  <c r="D63" i="11"/>
  <c r="D64" i="11"/>
  <c r="J59" i="13"/>
  <c r="J37" i="13"/>
  <c r="J39" i="13"/>
  <c r="J38" i="13"/>
  <c r="J58" i="13"/>
  <c r="J57" i="13"/>
  <c r="L28" i="13"/>
  <c r="L29" i="13" s="1"/>
  <c r="K39" i="12"/>
  <c r="K38" i="12"/>
  <c r="K37" i="12"/>
  <c r="M28" i="12"/>
  <c r="M29" i="12" s="1"/>
  <c r="L28" i="11"/>
  <c r="L29" i="11" s="1"/>
  <c r="J38" i="11"/>
  <c r="J39" i="11"/>
  <c r="J37" i="11"/>
  <c r="K58" i="10"/>
  <c r="K57" i="10"/>
  <c r="K59" i="10"/>
  <c r="K37" i="10"/>
  <c r="K38" i="10"/>
  <c r="K39" i="10"/>
  <c r="M28" i="10"/>
  <c r="M29" i="10" s="1"/>
  <c r="K50" i="9"/>
  <c r="K48" i="9"/>
  <c r="K49" i="9"/>
  <c r="M28" i="9"/>
  <c r="M29" i="9" s="1"/>
  <c r="K39" i="9"/>
  <c r="K38" i="9"/>
  <c r="K37" i="9"/>
  <c r="J57" i="8"/>
  <c r="J58" i="8"/>
  <c r="J59" i="8"/>
  <c r="L28" i="8"/>
  <c r="L29" i="8" s="1"/>
  <c r="J37" i="8"/>
  <c r="J38" i="8"/>
  <c r="J39" i="8"/>
  <c r="J50" i="7"/>
  <c r="J49" i="7"/>
  <c r="J37" i="7"/>
  <c r="J48" i="7"/>
  <c r="J39" i="7"/>
  <c r="J38" i="7"/>
  <c r="L28" i="7"/>
  <c r="L29" i="7" s="1"/>
  <c r="B8" i="6"/>
  <c r="M45" i="1"/>
  <c r="N46" i="1"/>
  <c r="I45" i="1"/>
  <c r="I49" i="1" s="1"/>
  <c r="F33" i="1"/>
  <c r="J46" i="1"/>
  <c r="J50" i="1" s="1"/>
  <c r="F34" i="1"/>
  <c r="F36" i="1" s="1"/>
  <c r="L45" i="1"/>
  <c r="H45" i="1"/>
  <c r="H49" i="1" s="1"/>
  <c r="M46" i="1"/>
  <c r="I46" i="1"/>
  <c r="I50" i="1" s="1"/>
  <c r="F45" i="1"/>
  <c r="K45" i="1"/>
  <c r="G45" i="1"/>
  <c r="G49" i="1" s="1"/>
  <c r="L46" i="1"/>
  <c r="H46" i="1"/>
  <c r="H50" i="1" s="1"/>
  <c r="N45" i="1"/>
  <c r="J45" i="1"/>
  <c r="J49" i="1" s="1"/>
  <c r="F46" i="1"/>
  <c r="K46" i="1"/>
  <c r="D53" i="1"/>
  <c r="O56" i="1"/>
  <c r="P56" i="1" s="1"/>
  <c r="Q56" i="1" s="1"/>
  <c r="R56" i="1" s="1"/>
  <c r="S56" i="1" s="1"/>
  <c r="T56" i="1" s="1"/>
  <c r="Z64" i="1" s="1"/>
  <c r="AW46" i="2"/>
  <c r="AW44" i="2"/>
  <c r="AU45" i="2"/>
  <c r="AS46" i="2"/>
  <c r="AV44" i="2"/>
  <c r="AT45" i="2"/>
  <c r="AR44" i="2"/>
  <c r="AX46" i="2"/>
  <c r="F34" i="2"/>
  <c r="F38" i="2" s="1"/>
  <c r="AU44" i="2"/>
  <c r="AX45" i="2"/>
  <c r="AR45" i="2"/>
  <c r="AU46" i="2"/>
  <c r="AS44" i="2"/>
  <c r="AV45" i="2"/>
  <c r="AT46" i="2"/>
  <c r="AQ46" i="2"/>
  <c r="AX44" i="2"/>
  <c r="AT44" i="2"/>
  <c r="AW45" i="2"/>
  <c r="AS45" i="2"/>
  <c r="AV46" i="2"/>
  <c r="G28" i="2"/>
  <c r="G29" i="2" s="1"/>
  <c r="J33" i="2"/>
  <c r="N33" i="2"/>
  <c r="H34" i="2"/>
  <c r="L34" i="2"/>
  <c r="P34" i="2"/>
  <c r="J35" i="2"/>
  <c r="N35" i="2"/>
  <c r="G33" i="2"/>
  <c r="K33" i="2"/>
  <c r="O33" i="2"/>
  <c r="I34" i="2"/>
  <c r="M34" i="2"/>
  <c r="Q34" i="2"/>
  <c r="G35" i="2"/>
  <c r="K35" i="2"/>
  <c r="O35" i="2"/>
  <c r="H33" i="2"/>
  <c r="L33" i="2"/>
  <c r="P33" i="2"/>
  <c r="J34" i="2"/>
  <c r="N34" i="2"/>
  <c r="H35" i="2"/>
  <c r="L35" i="2"/>
  <c r="P35" i="2"/>
  <c r="I33" i="2"/>
  <c r="M33" i="2"/>
  <c r="Q33" i="2"/>
  <c r="G34" i="2"/>
  <c r="K34" i="2"/>
  <c r="O34" i="2"/>
  <c r="I35" i="2"/>
  <c r="M35" i="2"/>
  <c r="Q35" i="2"/>
  <c r="J33" i="1"/>
  <c r="J37" i="1" s="1"/>
  <c r="N33" i="1"/>
  <c r="R33" i="1"/>
  <c r="V33" i="1"/>
  <c r="Z33" i="1"/>
  <c r="AD33" i="1"/>
  <c r="H34" i="1"/>
  <c r="H38" i="1" s="1"/>
  <c r="L34" i="1"/>
  <c r="P34" i="1"/>
  <c r="T34" i="1"/>
  <c r="X34" i="1"/>
  <c r="AB34" i="1"/>
  <c r="F35" i="1"/>
  <c r="J35" i="1"/>
  <c r="J39" i="1" s="1"/>
  <c r="N35" i="1"/>
  <c r="R35" i="1"/>
  <c r="V35" i="1"/>
  <c r="Z35" i="1"/>
  <c r="AD35" i="1"/>
  <c r="I44" i="1"/>
  <c r="I48" i="1" s="1"/>
  <c r="M44" i="1"/>
  <c r="G33" i="1"/>
  <c r="G37" i="1" s="1"/>
  <c r="K33" i="1"/>
  <c r="O33" i="1"/>
  <c r="S33" i="1"/>
  <c r="W33" i="1"/>
  <c r="AA33" i="1"/>
  <c r="I34" i="1"/>
  <c r="I38" i="1" s="1"/>
  <c r="M34" i="1"/>
  <c r="Q34" i="1"/>
  <c r="U34" i="1"/>
  <c r="Y34" i="1"/>
  <c r="AC34" i="1"/>
  <c r="G35" i="1"/>
  <c r="G39" i="1" s="1"/>
  <c r="K35" i="1"/>
  <c r="O35" i="1"/>
  <c r="S35" i="1"/>
  <c r="W35" i="1"/>
  <c r="AA35" i="1"/>
  <c r="F44" i="1"/>
  <c r="J44" i="1"/>
  <c r="J48" i="1" s="1"/>
  <c r="N44" i="1"/>
  <c r="H33" i="1"/>
  <c r="H37" i="1" s="1"/>
  <c r="L33" i="1"/>
  <c r="P33" i="1"/>
  <c r="T33" i="1"/>
  <c r="X33" i="1"/>
  <c r="AB33" i="1"/>
  <c r="J34" i="1"/>
  <c r="J38" i="1" s="1"/>
  <c r="N34" i="1"/>
  <c r="R34" i="1"/>
  <c r="V34" i="1"/>
  <c r="Z34" i="1"/>
  <c r="AD34" i="1"/>
  <c r="H35" i="1"/>
  <c r="H39" i="1" s="1"/>
  <c r="L35" i="1"/>
  <c r="P35" i="1"/>
  <c r="T35" i="1"/>
  <c r="X35" i="1"/>
  <c r="AB35" i="1"/>
  <c r="G44" i="1"/>
  <c r="G48" i="1" s="1"/>
  <c r="K44" i="1"/>
  <c r="G50" i="1"/>
  <c r="BF62" i="1"/>
  <c r="Z62" i="1"/>
  <c r="AK62" i="1"/>
  <c r="BH62" i="1"/>
  <c r="AJ62" i="1"/>
  <c r="BG62" i="1"/>
  <c r="AQ62" i="1"/>
  <c r="AA62" i="1"/>
  <c r="I33" i="1"/>
  <c r="I37" i="1" s="1"/>
  <c r="M33" i="1"/>
  <c r="Q33" i="1"/>
  <c r="U33" i="1"/>
  <c r="Y33" i="1"/>
  <c r="AC33" i="1"/>
  <c r="G34" i="1"/>
  <c r="G38" i="1" s="1"/>
  <c r="K34" i="1"/>
  <c r="O34" i="1"/>
  <c r="S34" i="1"/>
  <c r="W34" i="1"/>
  <c r="AA34" i="1"/>
  <c r="I35" i="1"/>
  <c r="I39" i="1" s="1"/>
  <c r="M35" i="1"/>
  <c r="Q35" i="1"/>
  <c r="U35" i="1"/>
  <c r="Y35" i="1"/>
  <c r="AC35" i="1"/>
  <c r="H44" i="1"/>
  <c r="H48" i="1" s="1"/>
  <c r="L44" i="1"/>
  <c r="D55" i="1"/>
  <c r="D54" i="1"/>
  <c r="K39" i="1" l="1"/>
  <c r="K37" i="1"/>
  <c r="K48" i="1"/>
  <c r="AR47" i="2"/>
  <c r="AS47" i="2" s="1"/>
  <c r="AT47" i="2" s="1"/>
  <c r="AU47" i="2" s="1"/>
  <c r="AV47" i="2" s="1"/>
  <c r="AW47" i="2" s="1"/>
  <c r="AX47" i="2" s="1"/>
  <c r="K49" i="1"/>
  <c r="K38" i="1"/>
  <c r="K50" i="1"/>
  <c r="M28" i="1"/>
  <c r="L29" i="1"/>
  <c r="L49" i="1" s="1"/>
  <c r="D12" i="3"/>
  <c r="E12" i="3" s="1"/>
  <c r="D10" i="3"/>
  <c r="E10" i="3" s="1"/>
  <c r="V65" i="7"/>
  <c r="W65" i="7" s="1"/>
  <c r="X65" i="7" s="1"/>
  <c r="Y65" i="7" s="1"/>
  <c r="Z65" i="7" s="1"/>
  <c r="AA65" i="7" s="1"/>
  <c r="AB65" i="7" s="1"/>
  <c r="AC65" i="7" s="1"/>
  <c r="AD65" i="7" s="1"/>
  <c r="AE65" i="7" s="1"/>
  <c r="AF65" i="7" s="1"/>
  <c r="AG65" i="7" s="1"/>
  <c r="AH65" i="7" s="1"/>
  <c r="AI65" i="7" s="1"/>
  <c r="AJ65" i="7" s="1"/>
  <c r="AK65" i="7" s="1"/>
  <c r="AL65" i="7" s="1"/>
  <c r="AM65" i="7" s="1"/>
  <c r="AN65" i="7" s="1"/>
  <c r="AO65" i="7" s="1"/>
  <c r="AP65" i="7" s="1"/>
  <c r="AQ65" i="7" s="1"/>
  <c r="AR65" i="7" s="1"/>
  <c r="AS65" i="7" s="1"/>
  <c r="AT65" i="7" s="1"/>
  <c r="AU65" i="7" s="1"/>
  <c r="AV65" i="7" s="1"/>
  <c r="AW65" i="7" s="1"/>
  <c r="AX65" i="7" s="1"/>
  <c r="AY65" i="7" s="1"/>
  <c r="AZ65" i="7" s="1"/>
  <c r="BA65" i="7" s="1"/>
  <c r="BB65" i="7" s="1"/>
  <c r="BC65" i="7" s="1"/>
  <c r="BD65" i="7" s="1"/>
  <c r="BE65" i="7" s="1"/>
  <c r="BF65" i="7" s="1"/>
  <c r="BG65" i="7" s="1"/>
  <c r="BH65" i="7" s="1"/>
  <c r="O28" i="16"/>
  <c r="O29" i="16" s="1"/>
  <c r="M39" i="16"/>
  <c r="M38" i="16"/>
  <c r="M37" i="16"/>
  <c r="O28" i="15"/>
  <c r="O29" i="15" s="1"/>
  <c r="M38" i="15"/>
  <c r="M39" i="15"/>
  <c r="M37" i="15"/>
  <c r="N48" i="14"/>
  <c r="N49" i="14"/>
  <c r="N50" i="14"/>
  <c r="N38" i="14"/>
  <c r="N37" i="14"/>
  <c r="N39" i="14"/>
  <c r="P28" i="14"/>
  <c r="P29" i="14" s="1"/>
  <c r="L57" i="12"/>
  <c r="L58" i="12"/>
  <c r="L59" i="12"/>
  <c r="D64" i="7"/>
  <c r="D62" i="7"/>
  <c r="G14" i="7" s="1"/>
  <c r="K57" i="11"/>
  <c r="K59" i="11"/>
  <c r="K58" i="11"/>
  <c r="N55" i="9"/>
  <c r="N53" i="9"/>
  <c r="Q53" i="9"/>
  <c r="M54" i="9"/>
  <c r="Q55" i="9"/>
  <c r="G13" i="9"/>
  <c r="P53" i="9"/>
  <c r="Q54" i="9"/>
  <c r="R53" i="9"/>
  <c r="O53" i="9"/>
  <c r="E65" i="9"/>
  <c r="M53" i="9"/>
  <c r="R55" i="9"/>
  <c r="N54" i="9"/>
  <c r="O55" i="9"/>
  <c r="P54" i="9"/>
  <c r="R54" i="9"/>
  <c r="O54" i="9"/>
  <c r="E56" i="9"/>
  <c r="P55" i="9"/>
  <c r="M55" i="9"/>
  <c r="D63" i="7"/>
  <c r="M28" i="13"/>
  <c r="M29" i="13" s="1"/>
  <c r="K58" i="13"/>
  <c r="K37" i="13"/>
  <c r="K59" i="13"/>
  <c r="K57" i="13"/>
  <c r="K39" i="13"/>
  <c r="K38" i="13"/>
  <c r="L38" i="12"/>
  <c r="L37" i="12"/>
  <c r="L39" i="12"/>
  <c r="N28" i="12"/>
  <c r="N29" i="12" s="1"/>
  <c r="M28" i="11"/>
  <c r="M29" i="11" s="1"/>
  <c r="K38" i="11"/>
  <c r="K39" i="11"/>
  <c r="K37" i="11"/>
  <c r="L59" i="10"/>
  <c r="L57" i="10"/>
  <c r="L58" i="10"/>
  <c r="N28" i="10"/>
  <c r="N29" i="10" s="1"/>
  <c r="D49" i="10"/>
  <c r="L39" i="10"/>
  <c r="D50" i="10"/>
  <c r="D48" i="10"/>
  <c r="L37" i="10"/>
  <c r="L38" i="10"/>
  <c r="L49" i="9"/>
  <c r="D49" i="9" s="1"/>
  <c r="L48" i="9"/>
  <c r="D48" i="9" s="1"/>
  <c r="L50" i="9"/>
  <c r="D50" i="9" s="1"/>
  <c r="L37" i="9"/>
  <c r="L39" i="9"/>
  <c r="L38" i="9"/>
  <c r="N28" i="9"/>
  <c r="N29" i="9" s="1"/>
  <c r="K57" i="8"/>
  <c r="K59" i="8"/>
  <c r="K58" i="8"/>
  <c r="K39" i="8"/>
  <c r="K37" i="8"/>
  <c r="K38" i="8"/>
  <c r="M28" i="8"/>
  <c r="M29" i="8" s="1"/>
  <c r="M28" i="7"/>
  <c r="M29" i="7" s="1"/>
  <c r="K48" i="7"/>
  <c r="K38" i="7"/>
  <c r="K49" i="7"/>
  <c r="K39" i="7"/>
  <c r="K50" i="7"/>
  <c r="K37" i="7"/>
  <c r="W63" i="1"/>
  <c r="AD62" i="1"/>
  <c r="U64" i="1"/>
  <c r="BD64" i="1"/>
  <c r="AW64" i="1"/>
  <c r="AF63" i="1"/>
  <c r="AG63" i="1"/>
  <c r="AP63" i="1"/>
  <c r="AU62" i="1"/>
  <c r="Z63" i="1"/>
  <c r="AI62" i="1"/>
  <c r="AY62" i="1"/>
  <c r="AB62" i="1"/>
  <c r="AV62" i="1"/>
  <c r="U62" i="1"/>
  <c r="BA62" i="1"/>
  <c r="AP62" i="1"/>
  <c r="Y64" i="1"/>
  <c r="AN64" i="1"/>
  <c r="BC63" i="1"/>
  <c r="AE64" i="1"/>
  <c r="AX64" i="1"/>
  <c r="U63" i="1"/>
  <c r="AE62" i="1"/>
  <c r="AR62" i="1"/>
  <c r="AW62" i="1"/>
  <c r="AU64" i="1"/>
  <c r="W62" i="1"/>
  <c r="AM62" i="1"/>
  <c r="BC62" i="1"/>
  <c r="AF62" i="1"/>
  <c r="AZ62" i="1"/>
  <c r="AG62" i="1"/>
  <c r="AT62" i="1"/>
  <c r="AV63" i="1"/>
  <c r="X64" i="1"/>
  <c r="AM63" i="1"/>
  <c r="BF63" i="1"/>
  <c r="AH64" i="1"/>
  <c r="BA63" i="1"/>
  <c r="BA64" i="1"/>
  <c r="BH63" i="1"/>
  <c r="AR63" i="1"/>
  <c r="AB63" i="1"/>
  <c r="AZ64" i="1"/>
  <c r="AJ64" i="1"/>
  <c r="BE63" i="1"/>
  <c r="AC63" i="1"/>
  <c r="AK64" i="1"/>
  <c r="AY63" i="1"/>
  <c r="AI63" i="1"/>
  <c r="BG64" i="1"/>
  <c r="AQ64" i="1"/>
  <c r="AA64" i="1"/>
  <c r="BB63" i="1"/>
  <c r="AL63" i="1"/>
  <c r="V63" i="1"/>
  <c r="AT64" i="1"/>
  <c r="AD64" i="1"/>
  <c r="AS63" i="1"/>
  <c r="AS64" i="1"/>
  <c r="BD63" i="1"/>
  <c r="AN63" i="1"/>
  <c r="X63" i="1"/>
  <c r="AV64" i="1"/>
  <c r="AF64" i="1"/>
  <c r="AW63" i="1"/>
  <c r="Y63" i="1"/>
  <c r="AC64" i="1"/>
  <c r="AU63" i="1"/>
  <c r="AE63" i="1"/>
  <c r="BC64" i="1"/>
  <c r="AM64" i="1"/>
  <c r="W64" i="1"/>
  <c r="AX63" i="1"/>
  <c r="AH63" i="1"/>
  <c r="BF64" i="1"/>
  <c r="AP64" i="1"/>
  <c r="AK63" i="1"/>
  <c r="AO64" i="1"/>
  <c r="AZ63" i="1"/>
  <c r="AJ63" i="1"/>
  <c r="BH64" i="1"/>
  <c r="AR64" i="1"/>
  <c r="AB64" i="1"/>
  <c r="AO63" i="1"/>
  <c r="BE64" i="1"/>
  <c r="BG63" i="1"/>
  <c r="AQ63" i="1"/>
  <c r="AA63" i="1"/>
  <c r="AY64" i="1"/>
  <c r="AI64" i="1"/>
  <c r="AG64" i="1"/>
  <c r="AT63" i="1"/>
  <c r="AD63" i="1"/>
  <c r="BB64" i="1"/>
  <c r="AL64" i="1"/>
  <c r="V64" i="1"/>
  <c r="Y62" i="1"/>
  <c r="AO62" i="1"/>
  <c r="BE62" i="1"/>
  <c r="AH62" i="1"/>
  <c r="AX62" i="1"/>
  <c r="X62" i="1"/>
  <c r="AN62" i="1"/>
  <c r="BD62" i="1"/>
  <c r="AC62" i="1"/>
  <c r="AS62" i="1"/>
  <c r="V62" i="1"/>
  <c r="AL62" i="1"/>
  <c r="BB62" i="1"/>
  <c r="D44" i="2"/>
  <c r="G14" i="2" s="1"/>
  <c r="D46" i="2"/>
  <c r="D45" i="2"/>
  <c r="D35" i="2"/>
  <c r="D34" i="2"/>
  <c r="H28" i="2"/>
  <c r="H29" i="2" s="1"/>
  <c r="G39" i="2"/>
  <c r="D33" i="2"/>
  <c r="G8" i="2" s="1"/>
  <c r="F36" i="2"/>
  <c r="G36" i="2" s="1"/>
  <c r="H36" i="2" s="1"/>
  <c r="I36" i="2" s="1"/>
  <c r="J36" i="2" s="1"/>
  <c r="K36" i="2" s="1"/>
  <c r="L36" i="2" s="1"/>
  <c r="M36" i="2" s="1"/>
  <c r="N36" i="2" s="1"/>
  <c r="O36" i="2" s="1"/>
  <c r="P36" i="2" s="1"/>
  <c r="Q36" i="2" s="1"/>
  <c r="F48" i="1"/>
  <c r="D44" i="1"/>
  <c r="D35" i="1"/>
  <c r="F39" i="1"/>
  <c r="F49" i="1"/>
  <c r="D45" i="1"/>
  <c r="F38" i="1"/>
  <c r="D34" i="1"/>
  <c r="D33" i="1"/>
  <c r="G8" i="1" s="1"/>
  <c r="F37" i="1"/>
  <c r="G36" i="1"/>
  <c r="H36" i="1" s="1"/>
  <c r="I36" i="1" s="1"/>
  <c r="J36" i="1" s="1"/>
  <c r="K36" i="1" s="1"/>
  <c r="L36" i="1" s="1"/>
  <c r="M36" i="1" s="1"/>
  <c r="N36" i="1" s="1"/>
  <c r="O36" i="1" s="1"/>
  <c r="P36" i="1" s="1"/>
  <c r="Q36" i="1" s="1"/>
  <c r="R36" i="1" s="1"/>
  <c r="S36" i="1" s="1"/>
  <c r="T36" i="1" s="1"/>
  <c r="U36" i="1" s="1"/>
  <c r="V36" i="1" s="1"/>
  <c r="W36" i="1" s="1"/>
  <c r="X36" i="1" s="1"/>
  <c r="Y36" i="1" s="1"/>
  <c r="Z36" i="1" s="1"/>
  <c r="AA36" i="1" s="1"/>
  <c r="AB36" i="1" s="1"/>
  <c r="AC36" i="1" s="1"/>
  <c r="AD36" i="1" s="1"/>
  <c r="F50" i="1"/>
  <c r="D46" i="1"/>
  <c r="F47" i="1"/>
  <c r="G47" i="1" s="1"/>
  <c r="H47" i="1" s="1"/>
  <c r="I47" i="1" s="1"/>
  <c r="J47" i="1" s="1"/>
  <c r="K47" i="1" s="1"/>
  <c r="L47" i="1" s="1"/>
  <c r="M47" i="1" s="1"/>
  <c r="N47" i="1" s="1"/>
  <c r="C25" i="3" l="1"/>
  <c r="C28" i="3" s="1"/>
  <c r="C32" i="30"/>
  <c r="C35" i="30" s="1"/>
  <c r="D25" i="3"/>
  <c r="D32" i="30"/>
  <c r="L37" i="1"/>
  <c r="L38" i="1"/>
  <c r="L39" i="1"/>
  <c r="L50" i="1"/>
  <c r="N28" i="1"/>
  <c r="M29" i="1"/>
  <c r="L48" i="1"/>
  <c r="D6" i="3"/>
  <c r="E6" i="3" s="1"/>
  <c r="N38" i="16"/>
  <c r="N37" i="16"/>
  <c r="N39" i="16"/>
  <c r="C5" i="3"/>
  <c r="C13" i="3" s="1"/>
  <c r="P28" i="16"/>
  <c r="P29" i="16" s="1"/>
  <c r="P28" i="15"/>
  <c r="P29" i="15" s="1"/>
  <c r="O50" i="14"/>
  <c r="O48" i="14"/>
  <c r="O49" i="14"/>
  <c r="O39" i="14"/>
  <c r="O38" i="14"/>
  <c r="O37" i="14"/>
  <c r="Q28" i="14"/>
  <c r="Q29" i="14" s="1"/>
  <c r="M56" i="9"/>
  <c r="N56" i="9" s="1"/>
  <c r="O56" i="9" s="1"/>
  <c r="P56" i="9" s="1"/>
  <c r="Q56" i="9" s="1"/>
  <c r="R56" i="9" s="1"/>
  <c r="D53" i="9"/>
  <c r="D54" i="9"/>
  <c r="M67" i="12"/>
  <c r="M68" i="12"/>
  <c r="M66" i="12"/>
  <c r="BG64" i="9"/>
  <c r="AE62" i="9"/>
  <c r="BL62" i="9"/>
  <c r="AP63" i="9"/>
  <c r="AZ64" i="9"/>
  <c r="Y64" i="9"/>
  <c r="BD63" i="9"/>
  <c r="AG63" i="9"/>
  <c r="AQ64" i="9"/>
  <c r="S62" i="9"/>
  <c r="AF62" i="9"/>
  <c r="AW62" i="9"/>
  <c r="BJ63" i="9"/>
  <c r="BE62" i="9"/>
  <c r="AC64" i="9"/>
  <c r="BH63" i="9"/>
  <c r="BG62" i="9"/>
  <c r="AE64" i="9"/>
  <c r="Z62" i="9"/>
  <c r="AM62" i="9"/>
  <c r="AZ62" i="9"/>
  <c r="AJ63" i="9"/>
  <c r="AR64" i="9"/>
  <c r="AM63" i="9"/>
  <c r="BM64" i="9"/>
  <c r="AT64" i="9"/>
  <c r="AO63" i="9"/>
  <c r="AY64" i="9"/>
  <c r="AQ62" i="9"/>
  <c r="BD62" i="9"/>
  <c r="V63" i="9"/>
  <c r="AV64" i="9"/>
  <c r="AQ63" i="9"/>
  <c r="BA64" i="9"/>
  <c r="AC63" i="9"/>
  <c r="AM64" i="9"/>
  <c r="AH62" i="9"/>
  <c r="AU62" i="9"/>
  <c r="AC62" i="9"/>
  <c r="BF63" i="9"/>
  <c r="AE63" i="9"/>
  <c r="AO64" i="9"/>
  <c r="V64" i="9"/>
  <c r="AW63" i="9"/>
  <c r="V62" i="9"/>
  <c r="AI62" i="9"/>
  <c r="AV62" i="9"/>
  <c r="T63" i="9"/>
  <c r="X64" i="9"/>
  <c r="S63" i="9"/>
  <c r="AS64" i="9"/>
  <c r="Z64" i="9"/>
  <c r="U63" i="9"/>
  <c r="AU64" i="9"/>
  <c r="AP62" i="9"/>
  <c r="BC62" i="9"/>
  <c r="U62" i="9"/>
  <c r="AH63" i="9"/>
  <c r="BH64" i="9"/>
  <c r="BC63" i="9"/>
  <c r="AV63" i="9"/>
  <c r="BJ64" i="9"/>
  <c r="BE63" i="9"/>
  <c r="AD62" i="9"/>
  <c r="BJ62" i="9"/>
  <c r="Y62" i="9"/>
  <c r="AL63" i="9"/>
  <c r="BL64" i="9"/>
  <c r="BG63" i="9"/>
  <c r="AZ63" i="9"/>
  <c r="AS63" i="9"/>
  <c r="BC64" i="9"/>
  <c r="AX62" i="9"/>
  <c r="AB62" i="9"/>
  <c r="AS62" i="9"/>
  <c r="T64" i="9"/>
  <c r="AU63" i="9"/>
  <c r="BE64" i="9"/>
  <c r="AL64" i="9"/>
  <c r="BM63" i="9"/>
  <c r="AL62" i="9"/>
  <c r="AY62" i="9"/>
  <c r="AF63" i="9"/>
  <c r="AD63" i="9"/>
  <c r="AN64" i="9"/>
  <c r="AI63" i="9"/>
  <c r="BI64" i="9"/>
  <c r="AP64" i="9"/>
  <c r="AK63" i="9"/>
  <c r="BK64" i="9"/>
  <c r="BH62" i="9"/>
  <c r="T62" i="9"/>
  <c r="AK62" i="9"/>
  <c r="AX63" i="9"/>
  <c r="BI62" i="9"/>
  <c r="AG64" i="9"/>
  <c r="BL63" i="9"/>
  <c r="BK62" i="9"/>
  <c r="S64" i="9"/>
  <c r="AT62" i="9"/>
  <c r="X62" i="9"/>
  <c r="AO62" i="9"/>
  <c r="BB63" i="9"/>
  <c r="BM62" i="9"/>
  <c r="U64" i="9"/>
  <c r="AH64" i="9"/>
  <c r="BI63" i="9"/>
  <c r="BF64" i="9"/>
  <c r="W62" i="9"/>
  <c r="AJ62" i="9"/>
  <c r="BA62" i="9"/>
  <c r="AB64" i="9"/>
  <c r="W63" i="9"/>
  <c r="AW64" i="9"/>
  <c r="AD64" i="9"/>
  <c r="Y63" i="9"/>
  <c r="AI64" i="9"/>
  <c r="AA62" i="9"/>
  <c r="X63" i="9"/>
  <c r="AR62" i="9"/>
  <c r="Z63" i="9"/>
  <c r="AJ64" i="9"/>
  <c r="BK63" i="9"/>
  <c r="AN63" i="9"/>
  <c r="BB64" i="9"/>
  <c r="AA64" i="9"/>
  <c r="BB62" i="9"/>
  <c r="AB63" i="9"/>
  <c r="AG62" i="9"/>
  <c r="AT63" i="9"/>
  <c r="BD64" i="9"/>
  <c r="AY63" i="9"/>
  <c r="AR63" i="9"/>
  <c r="BA63" i="9"/>
  <c r="AF64" i="9"/>
  <c r="W64" i="9"/>
  <c r="AA63" i="9"/>
  <c r="AN62" i="9"/>
  <c r="AK64" i="9"/>
  <c r="BF62" i="9"/>
  <c r="AX64" i="9"/>
  <c r="M68" i="10"/>
  <c r="M66" i="10"/>
  <c r="M67" i="10"/>
  <c r="L57" i="11"/>
  <c r="L58" i="11"/>
  <c r="L59" i="11"/>
  <c r="D55" i="9"/>
  <c r="N28" i="13"/>
  <c r="N29" i="13" s="1"/>
  <c r="L38" i="13"/>
  <c r="L57" i="13"/>
  <c r="D57" i="13" s="1"/>
  <c r="L37" i="13"/>
  <c r="L58" i="13"/>
  <c r="D58" i="13" s="1"/>
  <c r="L39" i="13"/>
  <c r="L59" i="13"/>
  <c r="D59" i="13" s="1"/>
  <c r="O28" i="12"/>
  <c r="O29" i="12" s="1"/>
  <c r="M39" i="12"/>
  <c r="M38" i="12"/>
  <c r="M37" i="12"/>
  <c r="N28" i="11"/>
  <c r="N29" i="11" s="1"/>
  <c r="L39" i="11"/>
  <c r="L38" i="11"/>
  <c r="L37" i="11"/>
  <c r="O28" i="10"/>
  <c r="O29" i="10" s="1"/>
  <c r="M37" i="10"/>
  <c r="M38" i="10"/>
  <c r="M39" i="10"/>
  <c r="M58" i="9"/>
  <c r="M59" i="9"/>
  <c r="M57" i="9"/>
  <c r="O28" i="9"/>
  <c r="O29" i="9" s="1"/>
  <c r="M39" i="9"/>
  <c r="M37" i="9"/>
  <c r="M38" i="9"/>
  <c r="L58" i="8"/>
  <c r="L57" i="8"/>
  <c r="L59" i="8"/>
  <c r="N28" i="8"/>
  <c r="N29" i="8" s="1"/>
  <c r="L37" i="8"/>
  <c r="L39" i="8"/>
  <c r="L38" i="8"/>
  <c r="L50" i="7"/>
  <c r="L39" i="7"/>
  <c r="L48" i="7"/>
  <c r="L38" i="7"/>
  <c r="L49" i="7"/>
  <c r="L37" i="7"/>
  <c r="N28" i="7"/>
  <c r="N29" i="7" s="1"/>
  <c r="D63" i="1"/>
  <c r="U65" i="1"/>
  <c r="V65" i="1" s="1"/>
  <c r="W65" i="1" s="1"/>
  <c r="X65" i="1" s="1"/>
  <c r="Y65" i="1" s="1"/>
  <c r="Z65" i="1" s="1"/>
  <c r="AA65" i="1" s="1"/>
  <c r="AB65" i="1" s="1"/>
  <c r="AC65" i="1" s="1"/>
  <c r="AD65" i="1" s="1"/>
  <c r="AE65" i="1" s="1"/>
  <c r="AF65" i="1" s="1"/>
  <c r="AG65" i="1" s="1"/>
  <c r="AH65" i="1" s="1"/>
  <c r="AI65" i="1" s="1"/>
  <c r="AJ65" i="1" s="1"/>
  <c r="AK65" i="1" s="1"/>
  <c r="AL65" i="1" s="1"/>
  <c r="AM65" i="1" s="1"/>
  <c r="AN65" i="1" s="1"/>
  <c r="AO65" i="1" s="1"/>
  <c r="AP65" i="1" s="1"/>
  <c r="AQ65" i="1" s="1"/>
  <c r="AR65" i="1" s="1"/>
  <c r="AS65" i="1" s="1"/>
  <c r="AT65" i="1" s="1"/>
  <c r="AU65" i="1" s="1"/>
  <c r="AV65" i="1" s="1"/>
  <c r="AW65" i="1" s="1"/>
  <c r="AX65" i="1" s="1"/>
  <c r="AY65" i="1" s="1"/>
  <c r="AZ65" i="1" s="1"/>
  <c r="BA65" i="1" s="1"/>
  <c r="BB65" i="1" s="1"/>
  <c r="BC65" i="1" s="1"/>
  <c r="BD65" i="1" s="1"/>
  <c r="BE65" i="1" s="1"/>
  <c r="BF65" i="1" s="1"/>
  <c r="BG65" i="1" s="1"/>
  <c r="BH65" i="1" s="1"/>
  <c r="D62" i="1"/>
  <c r="G14" i="1" s="1"/>
  <c r="D64" i="1"/>
  <c r="G38" i="2"/>
  <c r="G37" i="2"/>
  <c r="I28" i="2"/>
  <c r="I29" i="2" s="1"/>
  <c r="E25" i="3" l="1"/>
  <c r="D35" i="30"/>
  <c r="E35" i="30" s="1"/>
  <c r="E32" i="30"/>
  <c r="M49" i="1"/>
  <c r="M37" i="1"/>
  <c r="M48" i="1"/>
  <c r="M39" i="1"/>
  <c r="M38" i="1"/>
  <c r="M50" i="1"/>
  <c r="O28" i="1"/>
  <c r="N29" i="1"/>
  <c r="O39" i="16"/>
  <c r="O38" i="16"/>
  <c r="O37" i="16"/>
  <c r="D5" i="3"/>
  <c r="E5" i="3" s="1"/>
  <c r="Q28" i="16"/>
  <c r="Q29" i="16" s="1"/>
  <c r="Q28" i="15"/>
  <c r="Q29" i="15" s="1"/>
  <c r="P49" i="14"/>
  <c r="P50" i="14"/>
  <c r="P48" i="14"/>
  <c r="P37" i="14"/>
  <c r="P38" i="14"/>
  <c r="P39" i="14"/>
  <c r="R28" i="14"/>
  <c r="R29" i="14" s="1"/>
  <c r="M58" i="11"/>
  <c r="M59" i="11"/>
  <c r="M57" i="11"/>
  <c r="S65" i="9"/>
  <c r="T65" i="9" s="1"/>
  <c r="U65" i="9" s="1"/>
  <c r="V65" i="9" s="1"/>
  <c r="W65" i="9" s="1"/>
  <c r="X65" i="9" s="1"/>
  <c r="Y65" i="9" s="1"/>
  <c r="Z65" i="9" s="1"/>
  <c r="AA65" i="9" s="1"/>
  <c r="AB65" i="9" s="1"/>
  <c r="AC65" i="9" s="1"/>
  <c r="AD65" i="9" s="1"/>
  <c r="AE65" i="9" s="1"/>
  <c r="AF65" i="9" s="1"/>
  <c r="AG65" i="9" s="1"/>
  <c r="AH65" i="9" s="1"/>
  <c r="AI65" i="9" s="1"/>
  <c r="AJ65" i="9" s="1"/>
  <c r="AK65" i="9" s="1"/>
  <c r="AL65" i="9" s="1"/>
  <c r="AM65" i="9" s="1"/>
  <c r="AN65" i="9" s="1"/>
  <c r="AO65" i="9" s="1"/>
  <c r="AP65" i="9" s="1"/>
  <c r="AQ65" i="9" s="1"/>
  <c r="AR65" i="9" s="1"/>
  <c r="AS65" i="9" s="1"/>
  <c r="AT65" i="9" s="1"/>
  <c r="AU65" i="9" s="1"/>
  <c r="AV65" i="9" s="1"/>
  <c r="AW65" i="9" s="1"/>
  <c r="AX65" i="9" s="1"/>
  <c r="AY65" i="9" s="1"/>
  <c r="AZ65" i="9" s="1"/>
  <c r="BA65" i="9" s="1"/>
  <c r="BB65" i="9" s="1"/>
  <c r="BC65" i="9" s="1"/>
  <c r="BD65" i="9" s="1"/>
  <c r="BE65" i="9" s="1"/>
  <c r="BF65" i="9" s="1"/>
  <c r="BG65" i="9" s="1"/>
  <c r="BH65" i="9" s="1"/>
  <c r="BI65" i="9" s="1"/>
  <c r="BJ65" i="9" s="1"/>
  <c r="BK65" i="9" s="1"/>
  <c r="BL65" i="9" s="1"/>
  <c r="BM65" i="9" s="1"/>
  <c r="D63" i="9"/>
  <c r="D62" i="9"/>
  <c r="G14" i="9" s="1"/>
  <c r="M66" i="8"/>
  <c r="M68" i="8"/>
  <c r="M67" i="8"/>
  <c r="N67" i="10"/>
  <c r="N68" i="10"/>
  <c r="N66" i="10"/>
  <c r="N68" i="12"/>
  <c r="N66" i="12"/>
  <c r="N67" i="12"/>
  <c r="D64" i="9"/>
  <c r="O28" i="13"/>
  <c r="O29" i="13" s="1"/>
  <c r="M39" i="13"/>
  <c r="M38" i="13"/>
  <c r="M37" i="13"/>
  <c r="M66" i="13"/>
  <c r="M68" i="13"/>
  <c r="M67" i="13"/>
  <c r="P28" i="12"/>
  <c r="P29" i="12" s="1"/>
  <c r="D57" i="12"/>
  <c r="D59" i="12"/>
  <c r="N39" i="12"/>
  <c r="N37" i="12"/>
  <c r="N38" i="12"/>
  <c r="D58" i="12"/>
  <c r="O28" i="11"/>
  <c r="O29" i="11" s="1"/>
  <c r="M37" i="11"/>
  <c r="M39" i="11"/>
  <c r="M38" i="11"/>
  <c r="P28" i="10"/>
  <c r="P29" i="10" s="1"/>
  <c r="N37" i="10"/>
  <c r="N39" i="10"/>
  <c r="N38" i="10"/>
  <c r="N57" i="9"/>
  <c r="N59" i="9"/>
  <c r="N58" i="9"/>
  <c r="P28" i="9"/>
  <c r="P29" i="9" s="1"/>
  <c r="N39" i="9"/>
  <c r="N38" i="9"/>
  <c r="N37" i="9"/>
  <c r="M39" i="8"/>
  <c r="M38" i="8"/>
  <c r="M37" i="8"/>
  <c r="O28" i="8"/>
  <c r="O29" i="8" s="1"/>
  <c r="O28" i="7"/>
  <c r="O29" i="7" s="1"/>
  <c r="M48" i="7"/>
  <c r="M39" i="7"/>
  <c r="M37" i="7"/>
  <c r="M50" i="7"/>
  <c r="M49" i="7"/>
  <c r="M38" i="7"/>
  <c r="H39" i="2"/>
  <c r="H38" i="2"/>
  <c r="H37" i="2"/>
  <c r="J28" i="2"/>
  <c r="J29" i="2" s="1"/>
  <c r="N50" i="1" l="1"/>
  <c r="D50" i="1" s="1"/>
  <c r="N37" i="1"/>
  <c r="N39" i="1"/>
  <c r="N38" i="1"/>
  <c r="N48" i="1"/>
  <c r="D48" i="1" s="1"/>
  <c r="N49" i="1"/>
  <c r="D49" i="1" s="1"/>
  <c r="P28" i="1"/>
  <c r="O29" i="1"/>
  <c r="D8" i="3"/>
  <c r="E8" i="3" s="1"/>
  <c r="P37" i="16"/>
  <c r="P38" i="16"/>
  <c r="P39" i="16"/>
  <c r="R28" i="16"/>
  <c r="R29" i="16" s="1"/>
  <c r="R28" i="15"/>
  <c r="R29" i="15" s="1"/>
  <c r="Q50" i="14"/>
  <c r="Q49" i="14"/>
  <c r="Q48" i="14"/>
  <c r="Q39" i="14"/>
  <c r="Q38" i="14"/>
  <c r="Q37" i="14"/>
  <c r="S28" i="14"/>
  <c r="S29" i="14" s="1"/>
  <c r="N66" i="8"/>
  <c r="N67" i="8"/>
  <c r="N68" i="8"/>
  <c r="O66" i="10"/>
  <c r="O67" i="10"/>
  <c r="O68" i="10"/>
  <c r="N59" i="11"/>
  <c r="D59" i="11" s="1"/>
  <c r="N58" i="11"/>
  <c r="D58" i="11" s="1"/>
  <c r="N57" i="11"/>
  <c r="D57" i="11" s="1"/>
  <c r="O67" i="12"/>
  <c r="O68" i="12"/>
  <c r="O66" i="12"/>
  <c r="N39" i="13"/>
  <c r="N37" i="13"/>
  <c r="N38" i="13"/>
  <c r="N68" i="13"/>
  <c r="N66" i="13"/>
  <c r="N67" i="13"/>
  <c r="P28" i="13"/>
  <c r="P29" i="13" s="1"/>
  <c r="Q28" i="12"/>
  <c r="Q29" i="12" s="1"/>
  <c r="O37" i="12"/>
  <c r="O39" i="12"/>
  <c r="O38" i="12"/>
  <c r="P28" i="11"/>
  <c r="P29" i="11" s="1"/>
  <c r="N38" i="11"/>
  <c r="N37" i="11"/>
  <c r="N39" i="11"/>
  <c r="Q28" i="10"/>
  <c r="Q29" i="10" s="1"/>
  <c r="O37" i="10"/>
  <c r="O39" i="10"/>
  <c r="O38" i="10"/>
  <c r="O58" i="9"/>
  <c r="O59" i="9"/>
  <c r="O57" i="9"/>
  <c r="Q28" i="9"/>
  <c r="Q29" i="9" s="1"/>
  <c r="O39" i="9"/>
  <c r="O38" i="9"/>
  <c r="O37" i="9"/>
  <c r="N37" i="8"/>
  <c r="N38" i="8"/>
  <c r="D48" i="8"/>
  <c r="D50" i="8"/>
  <c r="N39" i="8"/>
  <c r="D49" i="8"/>
  <c r="P28" i="8"/>
  <c r="P29" i="8" s="1"/>
  <c r="P28" i="7"/>
  <c r="P29" i="7" s="1"/>
  <c r="N39" i="7"/>
  <c r="N49" i="7"/>
  <c r="D49" i="7" s="1"/>
  <c r="N50" i="7"/>
  <c r="D50" i="7" s="1"/>
  <c r="N48" i="7"/>
  <c r="D48" i="7" s="1"/>
  <c r="N37" i="7"/>
  <c r="N38" i="7"/>
  <c r="I37" i="2"/>
  <c r="I38" i="2"/>
  <c r="I39" i="2"/>
  <c r="K28" i="2"/>
  <c r="K29" i="2" s="1"/>
  <c r="D13" i="3" l="1"/>
  <c r="E13" i="3" s="1"/>
  <c r="Q28" i="1"/>
  <c r="P29" i="1"/>
  <c r="O59" i="1"/>
  <c r="O57" i="1"/>
  <c r="O58" i="1"/>
  <c r="O37" i="1"/>
  <c r="O38" i="1"/>
  <c r="O39" i="1"/>
  <c r="Q38" i="16"/>
  <c r="D38" i="16" s="1"/>
  <c r="Q37" i="16"/>
  <c r="D37" i="16" s="1"/>
  <c r="G9" i="16" s="1"/>
  <c r="Q39" i="16"/>
  <c r="D39" i="16" s="1"/>
  <c r="D28" i="3"/>
  <c r="E28" i="3" s="1"/>
  <c r="S28" i="16"/>
  <c r="S29" i="16" s="1"/>
  <c r="S28" i="15"/>
  <c r="S29" i="15" s="1"/>
  <c r="D38" i="15"/>
  <c r="D37" i="15"/>
  <c r="G9" i="15" s="1"/>
  <c r="D39" i="15"/>
  <c r="R48" i="14"/>
  <c r="R49" i="14"/>
  <c r="R50" i="14"/>
  <c r="R37" i="14"/>
  <c r="R38" i="14"/>
  <c r="R39" i="14"/>
  <c r="T28" i="14"/>
  <c r="T29" i="14" s="1"/>
  <c r="O66" i="11"/>
  <c r="O68" i="11"/>
  <c r="O67" i="11"/>
  <c r="O67" i="8"/>
  <c r="O68" i="8"/>
  <c r="O66" i="8"/>
  <c r="P68" i="12"/>
  <c r="P66" i="12"/>
  <c r="P67" i="12"/>
  <c r="P67" i="10"/>
  <c r="P68" i="10"/>
  <c r="P66" i="10"/>
  <c r="Q28" i="13"/>
  <c r="Q29" i="13" s="1"/>
  <c r="O38" i="13"/>
  <c r="O37" i="13"/>
  <c r="O39" i="13"/>
  <c r="O68" i="13"/>
  <c r="O66" i="13"/>
  <c r="O67" i="13"/>
  <c r="R28" i="12"/>
  <c r="R29" i="12" s="1"/>
  <c r="P39" i="12"/>
  <c r="P38" i="12"/>
  <c r="P37" i="12"/>
  <c r="Q28" i="11"/>
  <c r="Q29" i="11" s="1"/>
  <c r="O39" i="11"/>
  <c r="O38" i="11"/>
  <c r="O37" i="11"/>
  <c r="R28" i="10"/>
  <c r="R29" i="10" s="1"/>
  <c r="P38" i="10"/>
  <c r="P37" i="10"/>
  <c r="P39" i="10"/>
  <c r="P58" i="9"/>
  <c r="P57" i="9"/>
  <c r="P59" i="9"/>
  <c r="R28" i="9"/>
  <c r="R29" i="9" s="1"/>
  <c r="P38" i="9"/>
  <c r="P39" i="9"/>
  <c r="P37" i="9"/>
  <c r="O38" i="8"/>
  <c r="O37" i="8"/>
  <c r="O39" i="8"/>
  <c r="Q28" i="8"/>
  <c r="Q29" i="8" s="1"/>
  <c r="Q28" i="7"/>
  <c r="Q29" i="7" s="1"/>
  <c r="O37" i="7"/>
  <c r="O58" i="7"/>
  <c r="O59" i="7"/>
  <c r="O39" i="7"/>
  <c r="O57" i="7"/>
  <c r="O38" i="7"/>
  <c r="J37" i="2"/>
  <c r="J39" i="2"/>
  <c r="J38" i="2"/>
  <c r="L28" i="2"/>
  <c r="L29" i="2" s="1"/>
  <c r="F27" i="3" l="1"/>
  <c r="F34" i="30"/>
  <c r="F26" i="3"/>
  <c r="F33" i="30"/>
  <c r="P59" i="1"/>
  <c r="P57" i="1"/>
  <c r="P58" i="1"/>
  <c r="P37" i="1"/>
  <c r="P39" i="1"/>
  <c r="P38" i="1"/>
  <c r="R28" i="1"/>
  <c r="Q29" i="1"/>
  <c r="T28" i="16"/>
  <c r="T29" i="16" s="1"/>
  <c r="T28" i="15"/>
  <c r="T29" i="15" s="1"/>
  <c r="S49" i="14"/>
  <c r="S48" i="14"/>
  <c r="S50" i="14"/>
  <c r="S38" i="14"/>
  <c r="S37" i="14"/>
  <c r="S39" i="14"/>
  <c r="U28" i="14"/>
  <c r="U29" i="14" s="1"/>
  <c r="P66" i="8"/>
  <c r="P68" i="8"/>
  <c r="P67" i="8"/>
  <c r="Q66" i="10"/>
  <c r="Q67" i="10"/>
  <c r="Q68" i="10"/>
  <c r="P67" i="11"/>
  <c r="P68" i="11"/>
  <c r="P66" i="11"/>
  <c r="Q66" i="12"/>
  <c r="Q67" i="12"/>
  <c r="Q68" i="12"/>
  <c r="R28" i="13"/>
  <c r="R29" i="13" s="1"/>
  <c r="P39" i="13"/>
  <c r="P38" i="13"/>
  <c r="P37" i="13"/>
  <c r="P68" i="13"/>
  <c r="P67" i="13"/>
  <c r="P66" i="13"/>
  <c r="S28" i="12"/>
  <c r="S29" i="12" s="1"/>
  <c r="Q39" i="12"/>
  <c r="Q38" i="12"/>
  <c r="Q37" i="12"/>
  <c r="P38" i="11"/>
  <c r="P39" i="11"/>
  <c r="P37" i="11"/>
  <c r="R28" i="11"/>
  <c r="R29" i="11" s="1"/>
  <c r="Q37" i="10"/>
  <c r="Q39" i="10"/>
  <c r="Q38" i="10"/>
  <c r="S28" i="10"/>
  <c r="S29" i="10" s="1"/>
  <c r="Q59" i="9"/>
  <c r="Q58" i="9"/>
  <c r="Q57" i="9"/>
  <c r="Q37" i="9"/>
  <c r="Q38" i="9"/>
  <c r="Q39" i="9"/>
  <c r="S28" i="9"/>
  <c r="S29" i="9" s="1"/>
  <c r="P38" i="8"/>
  <c r="P39" i="8"/>
  <c r="P37" i="8"/>
  <c r="R28" i="8"/>
  <c r="R29" i="8" s="1"/>
  <c r="R28" i="7"/>
  <c r="R29" i="7" s="1"/>
  <c r="P38" i="7"/>
  <c r="P59" i="7"/>
  <c r="P39" i="7"/>
  <c r="P37" i="7"/>
  <c r="P57" i="7"/>
  <c r="P58" i="7"/>
  <c r="K38" i="2"/>
  <c r="K37" i="2"/>
  <c r="K39" i="2"/>
  <c r="M28" i="2"/>
  <c r="M29" i="2" s="1"/>
  <c r="Q58" i="1" l="1"/>
  <c r="Q59" i="1"/>
  <c r="Q57" i="1"/>
  <c r="Q37" i="1"/>
  <c r="Q38" i="1"/>
  <c r="Q39" i="1"/>
  <c r="S28" i="1"/>
  <c r="R29" i="1"/>
  <c r="U28" i="16"/>
  <c r="U29" i="16" s="1"/>
  <c r="U28" i="15"/>
  <c r="U29" i="15" s="1"/>
  <c r="T50" i="14"/>
  <c r="D50" i="14" s="1"/>
  <c r="T48" i="14"/>
  <c r="D48" i="14" s="1"/>
  <c r="T49" i="14"/>
  <c r="D49" i="14" s="1"/>
  <c r="T39" i="14"/>
  <c r="T38" i="14"/>
  <c r="T37" i="14"/>
  <c r="V28" i="14"/>
  <c r="V29" i="14" s="1"/>
  <c r="Q67" i="8"/>
  <c r="Q66" i="8"/>
  <c r="Q68" i="8"/>
  <c r="R67" i="10"/>
  <c r="R66" i="10"/>
  <c r="R68" i="10"/>
  <c r="Q68" i="11"/>
  <c r="Q66" i="11"/>
  <c r="Q67" i="11"/>
  <c r="R68" i="12"/>
  <c r="R66" i="12"/>
  <c r="R67" i="12"/>
  <c r="Q39" i="13"/>
  <c r="Q66" i="13"/>
  <c r="Q38" i="13"/>
  <c r="Q37" i="13"/>
  <c r="Q67" i="13"/>
  <c r="Q68" i="13"/>
  <c r="S28" i="13"/>
  <c r="S29" i="13" s="1"/>
  <c r="T28" i="12"/>
  <c r="T29" i="12" s="1"/>
  <c r="R39" i="12"/>
  <c r="R38" i="12"/>
  <c r="R37" i="12"/>
  <c r="Q37" i="11"/>
  <c r="Q38" i="11"/>
  <c r="Q39" i="11"/>
  <c r="S28" i="11"/>
  <c r="S29" i="11" s="1"/>
  <c r="T28" i="10"/>
  <c r="T29" i="10" s="1"/>
  <c r="D58" i="10"/>
  <c r="R39" i="10"/>
  <c r="R37" i="10"/>
  <c r="D57" i="10"/>
  <c r="D59" i="10"/>
  <c r="R38" i="10"/>
  <c r="R59" i="9"/>
  <c r="D59" i="9" s="1"/>
  <c r="R57" i="9"/>
  <c r="D57" i="9" s="1"/>
  <c r="R58" i="9"/>
  <c r="D58" i="9" s="1"/>
  <c r="T28" i="9"/>
  <c r="T29" i="9" s="1"/>
  <c r="R39" i="9"/>
  <c r="R38" i="9"/>
  <c r="R37" i="9"/>
  <c r="Q39" i="8"/>
  <c r="Q37" i="8"/>
  <c r="Q38" i="8"/>
  <c r="S28" i="8"/>
  <c r="S29" i="8" s="1"/>
  <c r="Q59" i="7"/>
  <c r="Q37" i="7"/>
  <c r="Q39" i="7"/>
  <c r="Q57" i="7"/>
  <c r="Q38" i="7"/>
  <c r="Q58" i="7"/>
  <c r="S28" i="7"/>
  <c r="S29" i="7" s="1"/>
  <c r="N28" i="2"/>
  <c r="N29" i="2" s="1"/>
  <c r="L39" i="2"/>
  <c r="L37" i="2"/>
  <c r="L38" i="2"/>
  <c r="R58" i="1" l="1"/>
  <c r="R59" i="1"/>
  <c r="R57" i="1"/>
  <c r="R38" i="1"/>
  <c r="R39" i="1"/>
  <c r="R37" i="1"/>
  <c r="T28" i="1"/>
  <c r="S29" i="1"/>
  <c r="V28" i="16"/>
  <c r="V29" i="16" s="1"/>
  <c r="V28" i="15"/>
  <c r="V29" i="15" s="1"/>
  <c r="U39" i="14"/>
  <c r="U38" i="14"/>
  <c r="U37" i="14"/>
  <c r="W28" i="14"/>
  <c r="W29" i="14" s="1"/>
  <c r="R67" i="8"/>
  <c r="R66" i="8"/>
  <c r="R68" i="8"/>
  <c r="S68" i="10"/>
  <c r="S67" i="10"/>
  <c r="S66" i="10"/>
  <c r="S68" i="9"/>
  <c r="S66" i="9"/>
  <c r="S67" i="9"/>
  <c r="R67" i="11"/>
  <c r="R68" i="11"/>
  <c r="R66" i="11"/>
  <c r="S66" i="12"/>
  <c r="S68" i="12"/>
  <c r="S67" i="12"/>
  <c r="T28" i="13"/>
  <c r="T29" i="13" s="1"/>
  <c r="R38" i="13"/>
  <c r="R66" i="13"/>
  <c r="R39" i="13"/>
  <c r="R37" i="13"/>
  <c r="R67" i="13"/>
  <c r="R68" i="13"/>
  <c r="U28" i="12"/>
  <c r="U29" i="12" s="1"/>
  <c r="S39" i="12"/>
  <c r="S38" i="12"/>
  <c r="S37" i="12"/>
  <c r="R37" i="11"/>
  <c r="R38" i="11"/>
  <c r="R39" i="11"/>
  <c r="T28" i="11"/>
  <c r="T29" i="11" s="1"/>
  <c r="S37" i="10"/>
  <c r="S39" i="10"/>
  <c r="S38" i="10"/>
  <c r="U28" i="10"/>
  <c r="U29" i="10" s="1"/>
  <c r="S38" i="9"/>
  <c r="S37" i="9"/>
  <c r="S39" i="9"/>
  <c r="U28" i="9"/>
  <c r="U29" i="9" s="1"/>
  <c r="T28" i="8"/>
  <c r="T29" i="8" s="1"/>
  <c r="R39" i="8"/>
  <c r="R38" i="8"/>
  <c r="R37" i="8"/>
  <c r="T28" i="7"/>
  <c r="T29" i="7" s="1"/>
  <c r="R39" i="7"/>
  <c r="R59" i="7"/>
  <c r="R57" i="7"/>
  <c r="R58" i="7"/>
  <c r="R38" i="7"/>
  <c r="R37" i="7"/>
  <c r="M37" i="2"/>
  <c r="M39" i="2"/>
  <c r="M38" i="2"/>
  <c r="O28" i="2"/>
  <c r="O29" i="2" s="1"/>
  <c r="S57" i="1" l="1"/>
  <c r="S58" i="1"/>
  <c r="S59" i="1"/>
  <c r="S39" i="1"/>
  <c r="S38" i="1"/>
  <c r="S37" i="1"/>
  <c r="U28" i="1"/>
  <c r="T29" i="1"/>
  <c r="W28" i="16"/>
  <c r="W29" i="16" s="1"/>
  <c r="W28" i="15"/>
  <c r="W29" i="15" s="1"/>
  <c r="V38" i="14"/>
  <c r="V39" i="14"/>
  <c r="V37" i="14"/>
  <c r="X28" i="14"/>
  <c r="X29" i="14" s="1"/>
  <c r="S66" i="11"/>
  <c r="S68" i="11"/>
  <c r="S67" i="11"/>
  <c r="T68" i="12"/>
  <c r="T67" i="12"/>
  <c r="T66" i="12"/>
  <c r="T67" i="9"/>
  <c r="T66" i="9"/>
  <c r="T68" i="9"/>
  <c r="T68" i="10"/>
  <c r="T67" i="10"/>
  <c r="T66" i="10"/>
  <c r="S66" i="8"/>
  <c r="S67" i="8"/>
  <c r="S68" i="8"/>
  <c r="U28" i="13"/>
  <c r="U29" i="13" s="1"/>
  <c r="S39" i="13"/>
  <c r="S38" i="13"/>
  <c r="S37" i="13"/>
  <c r="S67" i="13"/>
  <c r="S68" i="13"/>
  <c r="S66" i="13"/>
  <c r="V28" i="12"/>
  <c r="V29" i="12" s="1"/>
  <c r="T39" i="12"/>
  <c r="T38" i="12"/>
  <c r="T37" i="12"/>
  <c r="S37" i="11"/>
  <c r="S38" i="11"/>
  <c r="S39" i="11"/>
  <c r="U28" i="11"/>
  <c r="U29" i="11" s="1"/>
  <c r="V28" i="10"/>
  <c r="V29" i="10" s="1"/>
  <c r="T37" i="10"/>
  <c r="T39" i="10"/>
  <c r="T38" i="10"/>
  <c r="V28" i="9"/>
  <c r="V29" i="9" s="1"/>
  <c r="T38" i="9"/>
  <c r="T37" i="9"/>
  <c r="T39" i="9"/>
  <c r="S38" i="8"/>
  <c r="S37" i="8"/>
  <c r="S39" i="8"/>
  <c r="U28" i="8"/>
  <c r="U29" i="8" s="1"/>
  <c r="S59" i="7"/>
  <c r="S39" i="7"/>
  <c r="S57" i="7"/>
  <c r="S38" i="7"/>
  <c r="S37" i="7"/>
  <c r="S58" i="7"/>
  <c r="U28" i="7"/>
  <c r="U29" i="7" s="1"/>
  <c r="N38" i="2"/>
  <c r="N39" i="2"/>
  <c r="N37" i="2"/>
  <c r="P28" i="2"/>
  <c r="P29" i="2" s="1"/>
  <c r="V28" i="1" l="1"/>
  <c r="U29" i="1"/>
  <c r="T57" i="1"/>
  <c r="D57" i="1" s="1"/>
  <c r="T58" i="1"/>
  <c r="D58" i="1" s="1"/>
  <c r="T59" i="1"/>
  <c r="D59" i="1" s="1"/>
  <c r="T39" i="1"/>
  <c r="T38" i="1"/>
  <c r="T37" i="1"/>
  <c r="X28" i="16"/>
  <c r="X29" i="16" s="1"/>
  <c r="X28" i="15"/>
  <c r="X29" i="15" s="1"/>
  <c r="W38" i="14"/>
  <c r="W37" i="14"/>
  <c r="W39" i="14"/>
  <c r="Y28" i="14"/>
  <c r="Y29" i="14" s="1"/>
  <c r="U67" i="9"/>
  <c r="U68" i="9"/>
  <c r="U66" i="9"/>
  <c r="T67" i="11"/>
  <c r="T68" i="11"/>
  <c r="T66" i="11"/>
  <c r="U68" i="12"/>
  <c r="U66" i="12"/>
  <c r="U67" i="12"/>
  <c r="T66" i="8"/>
  <c r="T68" i="8"/>
  <c r="T67" i="8"/>
  <c r="U67" i="10"/>
  <c r="U66" i="10"/>
  <c r="U68" i="10"/>
  <c r="V28" i="13"/>
  <c r="V29" i="13" s="1"/>
  <c r="T38" i="13"/>
  <c r="T37" i="13"/>
  <c r="T39" i="13"/>
  <c r="T66" i="13"/>
  <c r="T67" i="13"/>
  <c r="T68" i="13"/>
  <c r="W28" i="12"/>
  <c r="W29" i="12" s="1"/>
  <c r="U37" i="12"/>
  <c r="U39" i="12"/>
  <c r="U38" i="12"/>
  <c r="T38" i="11"/>
  <c r="T39" i="11"/>
  <c r="T37" i="11"/>
  <c r="V28" i="11"/>
  <c r="V29" i="11" s="1"/>
  <c r="W28" i="10"/>
  <c r="W29" i="10" s="1"/>
  <c r="U39" i="10"/>
  <c r="U38" i="10"/>
  <c r="U37" i="10"/>
  <c r="U38" i="9"/>
  <c r="U37" i="9"/>
  <c r="U39" i="9"/>
  <c r="W28" i="9"/>
  <c r="W29" i="9" s="1"/>
  <c r="T37" i="8"/>
  <c r="D59" i="8"/>
  <c r="D57" i="8"/>
  <c r="T38" i="8"/>
  <c r="T39" i="8"/>
  <c r="D58" i="8"/>
  <c r="V28" i="8"/>
  <c r="V29" i="8" s="1"/>
  <c r="V28" i="7"/>
  <c r="V29" i="7" s="1"/>
  <c r="T38" i="7"/>
  <c r="T39" i="7"/>
  <c r="T59" i="7"/>
  <c r="D59" i="7" s="1"/>
  <c r="T37" i="7"/>
  <c r="T58" i="7"/>
  <c r="D58" i="7" s="1"/>
  <c r="T57" i="7"/>
  <c r="D57" i="7" s="1"/>
  <c r="O39" i="2"/>
  <c r="O38" i="2"/>
  <c r="O37" i="2"/>
  <c r="Q28" i="2"/>
  <c r="Q29" i="2" s="1"/>
  <c r="U39" i="1" l="1"/>
  <c r="U37" i="1"/>
  <c r="U66" i="1"/>
  <c r="U38" i="1"/>
  <c r="U68" i="1"/>
  <c r="U67" i="1"/>
  <c r="W28" i="1"/>
  <c r="V29" i="1"/>
  <c r="Y28" i="16"/>
  <c r="Y29" i="16" s="1"/>
  <c r="Y28" i="15"/>
  <c r="Y29" i="15" s="1"/>
  <c r="X39" i="14"/>
  <c r="X38" i="14"/>
  <c r="X37" i="14"/>
  <c r="Z28" i="14"/>
  <c r="Z29" i="14" s="1"/>
  <c r="V67" i="12"/>
  <c r="V68" i="12"/>
  <c r="V66" i="12"/>
  <c r="U68" i="11"/>
  <c r="U67" i="11"/>
  <c r="U66" i="11"/>
  <c r="U68" i="8"/>
  <c r="U67" i="8"/>
  <c r="U66" i="8"/>
  <c r="V67" i="9"/>
  <c r="V66" i="9"/>
  <c r="V68" i="9"/>
  <c r="V67" i="10"/>
  <c r="V66" i="10"/>
  <c r="V68" i="10"/>
  <c r="W28" i="13"/>
  <c r="W29" i="13" s="1"/>
  <c r="U66" i="13"/>
  <c r="U39" i="13"/>
  <c r="U38" i="13"/>
  <c r="U37" i="13"/>
  <c r="U67" i="13"/>
  <c r="U68" i="13"/>
  <c r="X28" i="12"/>
  <c r="X29" i="12" s="1"/>
  <c r="V39" i="12"/>
  <c r="V37" i="12"/>
  <c r="V38" i="12"/>
  <c r="W28" i="11"/>
  <c r="W29" i="11" s="1"/>
  <c r="U38" i="11"/>
  <c r="U39" i="11"/>
  <c r="U37" i="11"/>
  <c r="V37" i="10"/>
  <c r="V39" i="10"/>
  <c r="V38" i="10"/>
  <c r="X28" i="10"/>
  <c r="X29" i="10" s="1"/>
  <c r="X28" i="9"/>
  <c r="X29" i="9" s="1"/>
  <c r="V38" i="9"/>
  <c r="V37" i="9"/>
  <c r="V39" i="9"/>
  <c r="W28" i="8"/>
  <c r="W29" i="8" s="1"/>
  <c r="U39" i="8"/>
  <c r="U37" i="8"/>
  <c r="U38" i="8"/>
  <c r="W28" i="7"/>
  <c r="W29" i="7" s="1"/>
  <c r="U37" i="7"/>
  <c r="U68" i="7"/>
  <c r="U38" i="7"/>
  <c r="U67" i="7"/>
  <c r="U66" i="7"/>
  <c r="U39" i="7"/>
  <c r="P37" i="2"/>
  <c r="P38" i="2"/>
  <c r="P39" i="2"/>
  <c r="R28" i="2"/>
  <c r="R29" i="2" s="1"/>
  <c r="V37" i="1" l="1"/>
  <c r="V39" i="1"/>
  <c r="V38" i="1"/>
  <c r="V68" i="1"/>
  <c r="V66" i="1"/>
  <c r="V67" i="1"/>
  <c r="X28" i="1"/>
  <c r="W29" i="1"/>
  <c r="Z28" i="16"/>
  <c r="Z29" i="16" s="1"/>
  <c r="Z28" i="15"/>
  <c r="Z29" i="15" s="1"/>
  <c r="Y39" i="14"/>
  <c r="Y37" i="14"/>
  <c r="Y38" i="14"/>
  <c r="AA28" i="14"/>
  <c r="AA29" i="14" s="1"/>
  <c r="W67" i="12"/>
  <c r="W68" i="12"/>
  <c r="W66" i="12"/>
  <c r="W68" i="10"/>
  <c r="W67" i="10"/>
  <c r="W66" i="10"/>
  <c r="V66" i="8"/>
  <c r="V68" i="8"/>
  <c r="V67" i="8"/>
  <c r="W67" i="9"/>
  <c r="W66" i="9"/>
  <c r="W68" i="9"/>
  <c r="V68" i="11"/>
  <c r="V66" i="11"/>
  <c r="V67" i="11"/>
  <c r="X28" i="13"/>
  <c r="X29" i="13" s="1"/>
  <c r="V39" i="13"/>
  <c r="V38" i="13"/>
  <c r="V37" i="13"/>
  <c r="V68" i="13"/>
  <c r="V67" i="13"/>
  <c r="V66" i="13"/>
  <c r="Y28" i="12"/>
  <c r="Y29" i="12" s="1"/>
  <c r="W39" i="12"/>
  <c r="W37" i="12"/>
  <c r="W38" i="12"/>
  <c r="X28" i="11"/>
  <c r="X29" i="11" s="1"/>
  <c r="V38" i="11"/>
  <c r="V39" i="11"/>
  <c r="V37" i="11"/>
  <c r="W37" i="10"/>
  <c r="W38" i="10"/>
  <c r="W39" i="10"/>
  <c r="Y28" i="10"/>
  <c r="Y29" i="10" s="1"/>
  <c r="W39" i="9"/>
  <c r="W38" i="9"/>
  <c r="W37" i="9"/>
  <c r="Y28" i="9"/>
  <c r="Y29" i="9" s="1"/>
  <c r="X28" i="8"/>
  <c r="X29" i="8" s="1"/>
  <c r="V39" i="8"/>
  <c r="V38" i="8"/>
  <c r="V37" i="8"/>
  <c r="X28" i="7"/>
  <c r="X29" i="7" s="1"/>
  <c r="V66" i="7"/>
  <c r="V68" i="7"/>
  <c r="V37" i="7"/>
  <c r="V38" i="7"/>
  <c r="V67" i="7"/>
  <c r="V39" i="7"/>
  <c r="Q38" i="2"/>
  <c r="Q39" i="2"/>
  <c r="Q37" i="2"/>
  <c r="S28" i="2"/>
  <c r="S29" i="2" s="1"/>
  <c r="W37" i="1" l="1"/>
  <c r="W38" i="1"/>
  <c r="W39" i="1"/>
  <c r="W66" i="1"/>
  <c r="W67" i="1"/>
  <c r="W68" i="1"/>
  <c r="Y28" i="1"/>
  <c r="X29" i="1"/>
  <c r="AA28" i="16"/>
  <c r="AA29" i="16" s="1"/>
  <c r="AA28" i="15"/>
  <c r="AA29" i="15" s="1"/>
  <c r="Z37" i="14"/>
  <c r="Z38" i="14"/>
  <c r="Z39" i="14"/>
  <c r="AB28" i="14"/>
  <c r="AB29" i="14" s="1"/>
  <c r="X38" i="12"/>
  <c r="X39" i="12"/>
  <c r="X37" i="12"/>
  <c r="X66" i="12"/>
  <c r="X67" i="12"/>
  <c r="X68" i="12"/>
  <c r="W67" i="8"/>
  <c r="W66" i="8"/>
  <c r="W68" i="8"/>
  <c r="W68" i="11"/>
  <c r="W67" i="11"/>
  <c r="W66" i="11"/>
  <c r="X66" i="9"/>
  <c r="X68" i="9"/>
  <c r="X67" i="9"/>
  <c r="X66" i="10"/>
  <c r="X67" i="10"/>
  <c r="X68" i="10"/>
  <c r="Y28" i="13"/>
  <c r="Y29" i="13" s="1"/>
  <c r="W37" i="13"/>
  <c r="W39" i="13"/>
  <c r="W38" i="13"/>
  <c r="W67" i="13"/>
  <c r="W66" i="13"/>
  <c r="W68" i="13"/>
  <c r="Z28" i="12"/>
  <c r="Z29" i="12" s="1"/>
  <c r="Y28" i="11"/>
  <c r="Y29" i="11" s="1"/>
  <c r="W39" i="11"/>
  <c r="W37" i="11"/>
  <c r="W38" i="11"/>
  <c r="X39" i="10"/>
  <c r="X37" i="10"/>
  <c r="X38" i="10"/>
  <c r="Z28" i="10"/>
  <c r="Z29" i="10" s="1"/>
  <c r="Z28" i="9"/>
  <c r="Z29" i="9" s="1"/>
  <c r="X39" i="9"/>
  <c r="X38" i="9"/>
  <c r="X37" i="9"/>
  <c r="Y28" i="8"/>
  <c r="Y29" i="8" s="1"/>
  <c r="W38" i="8"/>
  <c r="W37" i="8"/>
  <c r="W39" i="8"/>
  <c r="Y28" i="7"/>
  <c r="Y29" i="7" s="1"/>
  <c r="W39" i="7"/>
  <c r="W37" i="7"/>
  <c r="W68" i="7"/>
  <c r="W38" i="7"/>
  <c r="W67" i="7"/>
  <c r="W66" i="7"/>
  <c r="T28" i="2"/>
  <c r="T29" i="2" s="1"/>
  <c r="X37" i="1" l="1"/>
  <c r="X38" i="1"/>
  <c r="X39" i="1"/>
  <c r="X67" i="1"/>
  <c r="X66" i="1"/>
  <c r="X68" i="1"/>
  <c r="Z28" i="1"/>
  <c r="Y29" i="1"/>
  <c r="AB28" i="16"/>
  <c r="AB29" i="16" s="1"/>
  <c r="AB28" i="15"/>
  <c r="AB29" i="15" s="1"/>
  <c r="AA37" i="14"/>
  <c r="AA38" i="14"/>
  <c r="AA39" i="14"/>
  <c r="AC28" i="14"/>
  <c r="AC29" i="14" s="1"/>
  <c r="Y66" i="10"/>
  <c r="Y68" i="10"/>
  <c r="Y67" i="10"/>
  <c r="X68" i="11"/>
  <c r="X66" i="11"/>
  <c r="X67" i="11"/>
  <c r="X66" i="8"/>
  <c r="X67" i="8"/>
  <c r="X68" i="8"/>
  <c r="Y68" i="9"/>
  <c r="Y67" i="9"/>
  <c r="Y66" i="9"/>
  <c r="Y39" i="12"/>
  <c r="Y37" i="12"/>
  <c r="Y38" i="12"/>
  <c r="Y68" i="12"/>
  <c r="Y67" i="12"/>
  <c r="Y66" i="12"/>
  <c r="Z28" i="13"/>
  <c r="Z29" i="13" s="1"/>
  <c r="X38" i="13"/>
  <c r="X37" i="13"/>
  <c r="X39" i="13"/>
  <c r="X68" i="13"/>
  <c r="X66" i="13"/>
  <c r="X67" i="13"/>
  <c r="AA28" i="12"/>
  <c r="AA29" i="12" s="1"/>
  <c r="Z28" i="11"/>
  <c r="Z29" i="11" s="1"/>
  <c r="Y38" i="10"/>
  <c r="Y39" i="10"/>
  <c r="Y37" i="10"/>
  <c r="AA28" i="10"/>
  <c r="AA29" i="10" s="1"/>
  <c r="Y37" i="9"/>
  <c r="Y39" i="9"/>
  <c r="Y38" i="9"/>
  <c r="AA28" i="9"/>
  <c r="AA29" i="9" s="1"/>
  <c r="Z28" i="8"/>
  <c r="Z29" i="8" s="1"/>
  <c r="X37" i="8"/>
  <c r="X39" i="8"/>
  <c r="X38" i="8"/>
  <c r="X66" i="7"/>
  <c r="X68" i="7"/>
  <c r="X37" i="7"/>
  <c r="X67" i="7"/>
  <c r="X39" i="7"/>
  <c r="X38" i="7"/>
  <c r="Z28" i="7"/>
  <c r="Z29" i="7" s="1"/>
  <c r="U28" i="2"/>
  <c r="U29" i="2" s="1"/>
  <c r="Y39" i="1" l="1"/>
  <c r="Y37" i="1"/>
  <c r="Y38" i="1"/>
  <c r="Y67" i="1"/>
  <c r="Y66" i="1"/>
  <c r="Y68" i="1"/>
  <c r="AA28" i="1"/>
  <c r="Z29" i="1"/>
  <c r="AC28" i="16"/>
  <c r="AC29" i="16" s="1"/>
  <c r="AC28" i="15"/>
  <c r="AC29" i="15" s="1"/>
  <c r="AB58" i="14"/>
  <c r="AB57" i="14"/>
  <c r="AB59" i="14"/>
  <c r="AB39" i="14"/>
  <c r="AB37" i="14"/>
  <c r="AB38" i="14"/>
  <c r="AD28" i="14"/>
  <c r="AD29" i="14" s="1"/>
  <c r="Z67" i="10"/>
  <c r="Z66" i="10"/>
  <c r="Z68" i="10"/>
  <c r="Z67" i="9"/>
  <c r="Z68" i="9"/>
  <c r="Z66" i="9"/>
  <c r="Y66" i="11"/>
  <c r="Y68" i="11"/>
  <c r="Y67" i="11"/>
  <c r="Z38" i="12"/>
  <c r="Z39" i="12"/>
  <c r="Z37" i="12"/>
  <c r="Z66" i="12"/>
  <c r="Z68" i="12"/>
  <c r="Z67" i="12"/>
  <c r="Y68" i="8"/>
  <c r="Y67" i="8"/>
  <c r="Y66" i="8"/>
  <c r="AA28" i="13"/>
  <c r="AA29" i="13" s="1"/>
  <c r="Y39" i="13"/>
  <c r="Y38" i="13"/>
  <c r="Y37" i="13"/>
  <c r="Y66" i="13"/>
  <c r="Y67" i="13"/>
  <c r="Y68" i="13"/>
  <c r="AB28" i="12"/>
  <c r="AB29" i="12" s="1"/>
  <c r="AA28" i="11"/>
  <c r="AA29" i="11" s="1"/>
  <c r="D37" i="11"/>
  <c r="G9" i="11" s="1"/>
  <c r="D38" i="11"/>
  <c r="D39" i="11"/>
  <c r="AB28" i="10"/>
  <c r="AB29" i="10" s="1"/>
  <c r="AB28" i="9"/>
  <c r="AB29" i="9" s="1"/>
  <c r="Z37" i="9"/>
  <c r="Z39" i="9"/>
  <c r="Z38" i="9"/>
  <c r="AA28" i="8"/>
  <c r="AA29" i="8" s="1"/>
  <c r="Y37" i="8"/>
  <c r="Y38" i="8"/>
  <c r="Y39" i="8"/>
  <c r="AA28" i="7"/>
  <c r="AA29" i="7" s="1"/>
  <c r="Y67" i="7"/>
  <c r="Y39" i="7"/>
  <c r="Y38" i="7"/>
  <c r="Y37" i="7"/>
  <c r="Y66" i="7"/>
  <c r="Y68" i="7"/>
  <c r="V28" i="2"/>
  <c r="V29" i="2" s="1"/>
  <c r="AB28" i="1" l="1"/>
  <c r="AA29" i="1"/>
  <c r="Z38" i="1"/>
  <c r="Z37" i="1"/>
  <c r="Z39" i="1"/>
  <c r="Z68" i="1"/>
  <c r="Z66" i="1"/>
  <c r="Z67" i="1"/>
  <c r="F10" i="3"/>
  <c r="AD28" i="16"/>
  <c r="AD29" i="16" s="1"/>
  <c r="AD28" i="15"/>
  <c r="AD29" i="15" s="1"/>
  <c r="AC58" i="14"/>
  <c r="AC57" i="14"/>
  <c r="AC59" i="14"/>
  <c r="AC39" i="14"/>
  <c r="D39" i="14" s="1"/>
  <c r="AC38" i="14"/>
  <c r="D38" i="14" s="1"/>
  <c r="AC37" i="14"/>
  <c r="D37" i="14" s="1"/>
  <c r="G9" i="14" s="1"/>
  <c r="F19" i="3" s="1"/>
  <c r="AE28" i="14"/>
  <c r="AE29" i="14" s="1"/>
  <c r="Z67" i="8"/>
  <c r="Z66" i="8"/>
  <c r="Z68" i="8"/>
  <c r="AA67" i="9"/>
  <c r="AA66" i="9"/>
  <c r="AA68" i="9"/>
  <c r="Z66" i="11"/>
  <c r="Z68" i="11"/>
  <c r="Z67" i="11"/>
  <c r="AA66" i="10"/>
  <c r="AA67" i="10"/>
  <c r="AA68" i="10"/>
  <c r="AA39" i="12"/>
  <c r="AA37" i="12"/>
  <c r="AA38" i="12"/>
  <c r="AA67" i="12"/>
  <c r="AA68" i="12"/>
  <c r="AA66" i="12"/>
  <c r="AB28" i="13"/>
  <c r="AB29" i="13" s="1"/>
  <c r="Z66" i="13"/>
  <c r="Z68" i="13"/>
  <c r="Z67" i="13"/>
  <c r="AC28" i="12"/>
  <c r="AC29" i="12" s="1"/>
  <c r="AB28" i="11"/>
  <c r="AB29" i="11" s="1"/>
  <c r="AC28" i="10"/>
  <c r="AC29" i="10" s="1"/>
  <c r="AA39" i="9"/>
  <c r="AA38" i="9"/>
  <c r="AA37" i="9"/>
  <c r="AC28" i="9"/>
  <c r="AC29" i="9" s="1"/>
  <c r="Z39" i="8"/>
  <c r="Z37" i="8"/>
  <c r="Z38" i="8"/>
  <c r="AB28" i="8"/>
  <c r="AB29" i="8" s="1"/>
  <c r="AB28" i="7"/>
  <c r="AB29" i="7" s="1"/>
  <c r="Z38" i="7"/>
  <c r="Z67" i="7"/>
  <c r="Z66" i="7"/>
  <c r="Z39" i="7"/>
  <c r="Z68" i="7"/>
  <c r="Z37" i="7"/>
  <c r="W28" i="2"/>
  <c r="W29" i="2" s="1"/>
  <c r="AA37" i="1" l="1"/>
  <c r="AA38" i="1"/>
  <c r="AA68" i="1"/>
  <c r="AA39" i="1"/>
  <c r="AA66" i="1"/>
  <c r="AA67" i="1"/>
  <c r="AC28" i="1"/>
  <c r="AB29" i="1"/>
  <c r="AE28" i="16"/>
  <c r="AE29" i="16" s="1"/>
  <c r="AE28" i="15"/>
  <c r="AE29" i="15" s="1"/>
  <c r="AD59" i="14"/>
  <c r="AD57" i="14"/>
  <c r="AD58" i="14"/>
  <c r="AF28" i="14"/>
  <c r="AF29" i="14" s="1"/>
  <c r="AA67" i="11"/>
  <c r="AA68" i="11"/>
  <c r="AA66" i="11"/>
  <c r="AA67" i="8"/>
  <c r="AA66" i="8"/>
  <c r="AA68" i="8"/>
  <c r="AB66" i="9"/>
  <c r="AB67" i="9"/>
  <c r="AB68" i="9"/>
  <c r="AB66" i="10"/>
  <c r="AB67" i="10"/>
  <c r="AB68" i="10"/>
  <c r="AB39" i="12"/>
  <c r="AB38" i="12"/>
  <c r="AB37" i="12"/>
  <c r="AB67" i="12"/>
  <c r="AB68" i="12"/>
  <c r="AB66" i="12"/>
  <c r="AC28" i="13"/>
  <c r="AC29" i="13" s="1"/>
  <c r="AA68" i="13"/>
  <c r="AA67" i="13"/>
  <c r="AA66" i="13"/>
  <c r="AD28" i="12"/>
  <c r="AD29" i="12" s="1"/>
  <c r="AC28" i="11"/>
  <c r="AC29" i="11" s="1"/>
  <c r="AD28" i="10"/>
  <c r="AD29" i="10" s="1"/>
  <c r="AB37" i="9"/>
  <c r="AB38" i="9"/>
  <c r="AB39" i="9"/>
  <c r="AD28" i="9"/>
  <c r="AD29" i="9" s="1"/>
  <c r="AA38" i="8"/>
  <c r="AA39" i="8"/>
  <c r="AA37" i="8"/>
  <c r="AC28" i="8"/>
  <c r="AC29" i="8" s="1"/>
  <c r="AA37" i="7"/>
  <c r="AA38" i="7"/>
  <c r="AA67" i="7"/>
  <c r="AA39" i="7"/>
  <c r="AA66" i="7"/>
  <c r="AA68" i="7"/>
  <c r="AC28" i="7"/>
  <c r="AC29" i="7" s="1"/>
  <c r="X28" i="2"/>
  <c r="X29" i="2" s="1"/>
  <c r="AD28" i="1" l="1"/>
  <c r="AC29" i="1"/>
  <c r="AB37" i="1"/>
  <c r="AB39" i="1"/>
  <c r="AB38" i="1"/>
  <c r="AB67" i="1"/>
  <c r="AB68" i="1"/>
  <c r="AB66" i="1"/>
  <c r="AF28" i="16"/>
  <c r="AF29" i="16" s="1"/>
  <c r="AF28" i="15"/>
  <c r="AF29" i="15" s="1"/>
  <c r="AE59" i="14"/>
  <c r="AE57" i="14"/>
  <c r="AE58" i="14"/>
  <c r="AG28" i="14"/>
  <c r="AG29" i="14" s="1"/>
  <c r="AB68" i="8"/>
  <c r="AB67" i="8"/>
  <c r="AB66" i="8"/>
  <c r="AC67" i="9"/>
  <c r="AC68" i="9"/>
  <c r="AC66" i="9"/>
  <c r="AB66" i="11"/>
  <c r="AB68" i="11"/>
  <c r="AB67" i="11"/>
  <c r="AC68" i="10"/>
  <c r="AC67" i="10"/>
  <c r="AC66" i="10"/>
  <c r="AC37" i="12"/>
  <c r="AC39" i="12"/>
  <c r="AC38" i="12"/>
  <c r="AC66" i="12"/>
  <c r="AC67" i="12"/>
  <c r="AC68" i="12"/>
  <c r="AD28" i="13"/>
  <c r="AD29" i="13" s="1"/>
  <c r="AB66" i="13"/>
  <c r="AB68" i="13"/>
  <c r="AB67" i="13"/>
  <c r="AE28" i="12"/>
  <c r="AE29" i="12" s="1"/>
  <c r="AD28" i="11"/>
  <c r="AD29" i="11" s="1"/>
  <c r="AE28" i="10"/>
  <c r="AE29" i="10" s="1"/>
  <c r="AE28" i="9"/>
  <c r="AE29" i="9" s="1"/>
  <c r="AC38" i="9"/>
  <c r="AC37" i="9"/>
  <c r="AC39" i="9"/>
  <c r="AD28" i="8"/>
  <c r="AD29" i="8" s="1"/>
  <c r="AB39" i="8"/>
  <c r="AB38" i="8"/>
  <c r="AB37" i="8"/>
  <c r="AB39" i="7"/>
  <c r="AB37" i="7"/>
  <c r="AB66" i="7"/>
  <c r="AB68" i="7"/>
  <c r="AB38" i="7"/>
  <c r="AB67" i="7"/>
  <c r="AD28" i="7"/>
  <c r="AD29" i="7" s="1"/>
  <c r="Y28" i="2"/>
  <c r="Y29" i="2" s="1"/>
  <c r="AC37" i="1" l="1"/>
  <c r="AC39" i="1"/>
  <c r="AC38" i="1"/>
  <c r="AC67" i="1"/>
  <c r="AC68" i="1"/>
  <c r="AC66" i="1"/>
  <c r="AE28" i="1"/>
  <c r="AD29" i="1"/>
  <c r="AG28" i="16"/>
  <c r="AG29" i="16" s="1"/>
  <c r="AG28" i="15"/>
  <c r="AG29" i="15" s="1"/>
  <c r="AF59" i="14"/>
  <c r="AF58" i="14"/>
  <c r="AF57" i="14"/>
  <c r="AH28" i="14"/>
  <c r="AH29" i="14" s="1"/>
  <c r="AD38" i="12"/>
  <c r="D38" i="12" s="1"/>
  <c r="AD37" i="12"/>
  <c r="D37" i="12" s="1"/>
  <c r="G9" i="12" s="1"/>
  <c r="AD39" i="12"/>
  <c r="D39" i="12" s="1"/>
  <c r="AD68" i="12"/>
  <c r="AD66" i="12"/>
  <c r="AD67" i="12"/>
  <c r="AC67" i="8"/>
  <c r="AC66" i="8"/>
  <c r="AC68" i="8"/>
  <c r="AD67" i="9"/>
  <c r="AD68" i="9"/>
  <c r="AD66" i="9"/>
  <c r="AC67" i="11"/>
  <c r="AC66" i="11"/>
  <c r="AC68" i="11"/>
  <c r="AD67" i="10"/>
  <c r="AD66" i="10"/>
  <c r="AD68" i="10"/>
  <c r="AE28" i="13"/>
  <c r="AE29" i="13" s="1"/>
  <c r="AC66" i="13"/>
  <c r="AC67" i="13"/>
  <c r="AC68" i="13"/>
  <c r="AF28" i="12"/>
  <c r="AF29" i="12" s="1"/>
  <c r="AE28" i="11"/>
  <c r="AE29" i="11" s="1"/>
  <c r="AF28" i="10"/>
  <c r="AF29" i="10" s="1"/>
  <c r="AF28" i="9"/>
  <c r="AF29" i="9" s="1"/>
  <c r="AD38" i="9"/>
  <c r="AD37" i="9"/>
  <c r="AD39" i="9"/>
  <c r="AE28" i="8"/>
  <c r="AE29" i="8" s="1"/>
  <c r="AC39" i="8"/>
  <c r="AC37" i="8"/>
  <c r="AC38" i="8"/>
  <c r="AE28" i="7"/>
  <c r="AE29" i="7" s="1"/>
  <c r="AC37" i="7"/>
  <c r="AC68" i="7"/>
  <c r="AC38" i="7"/>
  <c r="AC66" i="7"/>
  <c r="AC67" i="7"/>
  <c r="AC39" i="7"/>
  <c r="Z28" i="2"/>
  <c r="Z29" i="2" s="1"/>
  <c r="AD39" i="1" l="1"/>
  <c r="D39" i="1" s="1"/>
  <c r="AD38" i="1"/>
  <c r="D38" i="1" s="1"/>
  <c r="AD37" i="1"/>
  <c r="D37" i="1" s="1"/>
  <c r="G9" i="1" s="1"/>
  <c r="F5" i="3" s="1"/>
  <c r="AD67" i="1"/>
  <c r="AD68" i="1"/>
  <c r="AD66" i="1"/>
  <c r="AF28" i="1"/>
  <c r="AE29" i="1"/>
  <c r="F11" i="3"/>
  <c r="AH28" i="16"/>
  <c r="AH29" i="16" s="1"/>
  <c r="AH28" i="15"/>
  <c r="AH29" i="15" s="1"/>
  <c r="AG59" i="14"/>
  <c r="AG57" i="14"/>
  <c r="AG58" i="14"/>
  <c r="AI28" i="14"/>
  <c r="AI29" i="14" s="1"/>
  <c r="AD68" i="8"/>
  <c r="AD67" i="8"/>
  <c r="AD66" i="8"/>
  <c r="AE68" i="9"/>
  <c r="AE66" i="9"/>
  <c r="AE67" i="9"/>
  <c r="AE66" i="10"/>
  <c r="AE68" i="10"/>
  <c r="AE67" i="10"/>
  <c r="AE66" i="12"/>
  <c r="AE68" i="12"/>
  <c r="AE67" i="12"/>
  <c r="AD67" i="11"/>
  <c r="AD66" i="11"/>
  <c r="AD68" i="11"/>
  <c r="D38" i="13"/>
  <c r="D39" i="13"/>
  <c r="D37" i="13"/>
  <c r="G9" i="13" s="1"/>
  <c r="AD67" i="13"/>
  <c r="AD68" i="13"/>
  <c r="AD66" i="13"/>
  <c r="AF28" i="13"/>
  <c r="AF29" i="13" s="1"/>
  <c r="AG28" i="12"/>
  <c r="AG29" i="12" s="1"/>
  <c r="AF28" i="11"/>
  <c r="AF29" i="11" s="1"/>
  <c r="AG28" i="10"/>
  <c r="AG29" i="10" s="1"/>
  <c r="AG28" i="9"/>
  <c r="AG29" i="9" s="1"/>
  <c r="AE39" i="9"/>
  <c r="AE37" i="9"/>
  <c r="AE38" i="9"/>
  <c r="AD37" i="8"/>
  <c r="AD38" i="8"/>
  <c r="AD39" i="8"/>
  <c r="AF28" i="8"/>
  <c r="AF29" i="8" s="1"/>
  <c r="AF28" i="7"/>
  <c r="AF29" i="7" s="1"/>
  <c r="AD66" i="7"/>
  <c r="AD68" i="7"/>
  <c r="AD37" i="7"/>
  <c r="D37" i="7" s="1"/>
  <c r="G9" i="7" s="1"/>
  <c r="AD39" i="7"/>
  <c r="D39" i="7" s="1"/>
  <c r="AD38" i="7"/>
  <c r="D38" i="7" s="1"/>
  <c r="AD67" i="7"/>
  <c r="AA28" i="2"/>
  <c r="AA29" i="2" s="1"/>
  <c r="AE68" i="1" l="1"/>
  <c r="AE66" i="1"/>
  <c r="AE67" i="1"/>
  <c r="AG28" i="1"/>
  <c r="AF29" i="1"/>
  <c r="F6" i="3"/>
  <c r="F12" i="3"/>
  <c r="AI28" i="16"/>
  <c r="AI29" i="16" s="1"/>
  <c r="AI28" i="15"/>
  <c r="AI29" i="15" s="1"/>
  <c r="AH57" i="14"/>
  <c r="AH58" i="14"/>
  <c r="AH59" i="14"/>
  <c r="AJ28" i="14"/>
  <c r="AJ29" i="14" s="1"/>
  <c r="AE66" i="8"/>
  <c r="AE68" i="8"/>
  <c r="AE67" i="8"/>
  <c r="AF67" i="9"/>
  <c r="AF66" i="9"/>
  <c r="AF68" i="9"/>
  <c r="AE67" i="11"/>
  <c r="AE66" i="11"/>
  <c r="AE68" i="11"/>
  <c r="AF68" i="10"/>
  <c r="AF67" i="10"/>
  <c r="AF66" i="10"/>
  <c r="AF66" i="12"/>
  <c r="AF68" i="12"/>
  <c r="AF67" i="12"/>
  <c r="AG28" i="13"/>
  <c r="AG29" i="13" s="1"/>
  <c r="AE68" i="13"/>
  <c r="AE67" i="13"/>
  <c r="AE66" i="13"/>
  <c r="AH28" i="12"/>
  <c r="AH29" i="12" s="1"/>
  <c r="AG28" i="11"/>
  <c r="AG29" i="11" s="1"/>
  <c r="AH28" i="10"/>
  <c r="AH29" i="10" s="1"/>
  <c r="AF38" i="9"/>
  <c r="AF39" i="9"/>
  <c r="AF37" i="9"/>
  <c r="AH28" i="9"/>
  <c r="AH29" i="9" s="1"/>
  <c r="AE38" i="8"/>
  <c r="AE39" i="8"/>
  <c r="AE37" i="8"/>
  <c r="AG28" i="8"/>
  <c r="AG29" i="8" s="1"/>
  <c r="AE68" i="7"/>
  <c r="AE66" i="7"/>
  <c r="AE67" i="7"/>
  <c r="AG28" i="7"/>
  <c r="AG29" i="7" s="1"/>
  <c r="AB28" i="2"/>
  <c r="AB29" i="2" s="1"/>
  <c r="AH28" i="1" l="1"/>
  <c r="AG29" i="1"/>
  <c r="AF66" i="1"/>
  <c r="AF67" i="1"/>
  <c r="AF68" i="1"/>
  <c r="AJ28" i="16"/>
  <c r="AJ29" i="16" s="1"/>
  <c r="AJ28" i="15"/>
  <c r="AJ29" i="15" s="1"/>
  <c r="AI57" i="14"/>
  <c r="AI59" i="14"/>
  <c r="AI58" i="14"/>
  <c r="AK28" i="14"/>
  <c r="AK29" i="14" s="1"/>
  <c r="AG68" i="9"/>
  <c r="AG66" i="9"/>
  <c r="AG67" i="9"/>
  <c r="AG67" i="10"/>
  <c r="AG68" i="10"/>
  <c r="AG66" i="10"/>
  <c r="AG67" i="12"/>
  <c r="AG68" i="12"/>
  <c r="AG66" i="12"/>
  <c r="AF67" i="8"/>
  <c r="AF68" i="8"/>
  <c r="AF66" i="8"/>
  <c r="AF68" i="11"/>
  <c r="AF66" i="11"/>
  <c r="AF67" i="11"/>
  <c r="AH28" i="13"/>
  <c r="AH29" i="13" s="1"/>
  <c r="AF67" i="13"/>
  <c r="AF68" i="13"/>
  <c r="AF66" i="13"/>
  <c r="AI28" i="12"/>
  <c r="AI29" i="12" s="1"/>
  <c r="AH28" i="11"/>
  <c r="AH29" i="11" s="1"/>
  <c r="AI28" i="10"/>
  <c r="AI29" i="10" s="1"/>
  <c r="AG37" i="9"/>
  <c r="AG38" i="9"/>
  <c r="AG39" i="9"/>
  <c r="AI28" i="9"/>
  <c r="AI29" i="9" s="1"/>
  <c r="AF37" i="8"/>
  <c r="AF39" i="8"/>
  <c r="AF38" i="8"/>
  <c r="AH28" i="8"/>
  <c r="AH29" i="8" s="1"/>
  <c r="AH28" i="7"/>
  <c r="AH29" i="7" s="1"/>
  <c r="AF66" i="7"/>
  <c r="AF68" i="7"/>
  <c r="AF67" i="7"/>
  <c r="AC28" i="2"/>
  <c r="AC29" i="2" s="1"/>
  <c r="AG67" i="1" l="1"/>
  <c r="AG66" i="1"/>
  <c r="AG68" i="1"/>
  <c r="AI28" i="1"/>
  <c r="AH29" i="1"/>
  <c r="AK28" i="16"/>
  <c r="AK29" i="16" s="1"/>
  <c r="AK28" i="15"/>
  <c r="AK29" i="15" s="1"/>
  <c r="AJ58" i="14"/>
  <c r="AJ57" i="14"/>
  <c r="AJ59" i="14"/>
  <c r="AL28" i="14"/>
  <c r="AL29" i="14" s="1"/>
  <c r="AG67" i="8"/>
  <c r="AG68" i="8"/>
  <c r="AG66" i="8"/>
  <c r="AG68" i="11"/>
  <c r="AG66" i="11"/>
  <c r="AG67" i="11"/>
  <c r="AH68" i="9"/>
  <c r="AH67" i="9"/>
  <c r="AH66" i="9"/>
  <c r="AH68" i="10"/>
  <c r="AH67" i="10"/>
  <c r="AH66" i="10"/>
  <c r="AH68" i="12"/>
  <c r="AH67" i="12"/>
  <c r="AH66" i="12"/>
  <c r="AI28" i="13"/>
  <c r="AI29" i="13" s="1"/>
  <c r="AG68" i="13"/>
  <c r="AG66" i="13"/>
  <c r="AG67" i="13"/>
  <c r="AJ28" i="12"/>
  <c r="AJ29" i="12" s="1"/>
  <c r="AI28" i="11"/>
  <c r="AI29" i="11" s="1"/>
  <c r="AJ28" i="10"/>
  <c r="AJ29" i="10" s="1"/>
  <c r="AJ28" i="9"/>
  <c r="AJ29" i="9" s="1"/>
  <c r="AH37" i="9"/>
  <c r="AH38" i="9"/>
  <c r="AH39" i="9"/>
  <c r="AG39" i="8"/>
  <c r="AG38" i="8"/>
  <c r="AG37" i="8"/>
  <c r="AI28" i="8"/>
  <c r="AI29" i="8" s="1"/>
  <c r="AI28" i="7"/>
  <c r="AI29" i="7" s="1"/>
  <c r="AG66" i="7"/>
  <c r="AG68" i="7"/>
  <c r="AG67" i="7"/>
  <c r="AD28" i="2"/>
  <c r="AD29" i="2" s="1"/>
  <c r="AJ28" i="1" l="1"/>
  <c r="AI29" i="1"/>
  <c r="AH67" i="1"/>
  <c r="AH68" i="1"/>
  <c r="AH66" i="1"/>
  <c r="AL28" i="16"/>
  <c r="AL29" i="16" s="1"/>
  <c r="AL28" i="15"/>
  <c r="AL29" i="15" s="1"/>
  <c r="AK59" i="14"/>
  <c r="AK57" i="14"/>
  <c r="AK58" i="14"/>
  <c r="AM28" i="14"/>
  <c r="AM29" i="14" s="1"/>
  <c r="AH68" i="8"/>
  <c r="AH67" i="8"/>
  <c r="AH66" i="8"/>
  <c r="AH66" i="11"/>
  <c r="AH67" i="11"/>
  <c r="AH68" i="11"/>
  <c r="AI68" i="10"/>
  <c r="AI67" i="10"/>
  <c r="AI66" i="10"/>
  <c r="AI67" i="9"/>
  <c r="AI66" i="9"/>
  <c r="AI68" i="9"/>
  <c r="AI68" i="12"/>
  <c r="AI66" i="12"/>
  <c r="AI67" i="12"/>
  <c r="AH68" i="13"/>
  <c r="AH67" i="13"/>
  <c r="AH66" i="13"/>
  <c r="AJ28" i="13"/>
  <c r="AJ29" i="13" s="1"/>
  <c r="AK28" i="12"/>
  <c r="AK29" i="12" s="1"/>
  <c r="AJ28" i="11"/>
  <c r="AJ29" i="11" s="1"/>
  <c r="D38" i="10"/>
  <c r="D37" i="10"/>
  <c r="G9" i="10" s="1"/>
  <c r="D39" i="10"/>
  <c r="AK28" i="10"/>
  <c r="AK29" i="10" s="1"/>
  <c r="AI39" i="9"/>
  <c r="D39" i="9" s="1"/>
  <c r="AI38" i="9"/>
  <c r="D38" i="9" s="1"/>
  <c r="AI37" i="9"/>
  <c r="D37" i="9" s="1"/>
  <c r="G9" i="9" s="1"/>
  <c r="AK28" i="9"/>
  <c r="AK29" i="9" s="1"/>
  <c r="AH39" i="8"/>
  <c r="AH37" i="8"/>
  <c r="AH38" i="8"/>
  <c r="AJ28" i="8"/>
  <c r="AJ29" i="8" s="1"/>
  <c r="AJ28" i="7"/>
  <c r="AJ29" i="7" s="1"/>
  <c r="AH68" i="7"/>
  <c r="AH67" i="7"/>
  <c r="AH66" i="7"/>
  <c r="AE28" i="2"/>
  <c r="AE29" i="2" s="1"/>
  <c r="AI68" i="1" l="1"/>
  <c r="AI67" i="1"/>
  <c r="AI66" i="1"/>
  <c r="AK28" i="1"/>
  <c r="AJ29" i="1"/>
  <c r="F8" i="3"/>
  <c r="F9" i="3"/>
  <c r="AM28" i="15"/>
  <c r="AM29" i="15" s="1"/>
  <c r="AL59" i="14"/>
  <c r="AL58" i="14"/>
  <c r="AL57" i="14"/>
  <c r="AN28" i="14"/>
  <c r="AN29" i="14" s="1"/>
  <c r="AI66" i="8"/>
  <c r="AI68" i="8"/>
  <c r="AI67" i="8"/>
  <c r="AI68" i="11"/>
  <c r="AI66" i="11"/>
  <c r="AI67" i="11"/>
  <c r="AJ68" i="9"/>
  <c r="AJ66" i="9"/>
  <c r="AJ67" i="9"/>
  <c r="AJ68" i="10"/>
  <c r="AJ67" i="10"/>
  <c r="AJ66" i="10"/>
  <c r="AJ67" i="12"/>
  <c r="AJ66" i="12"/>
  <c r="AJ68" i="12"/>
  <c r="AI67" i="13"/>
  <c r="AI68" i="13"/>
  <c r="AI66" i="13"/>
  <c r="AK28" i="13"/>
  <c r="AK29" i="13" s="1"/>
  <c r="AL28" i="12"/>
  <c r="AL29" i="12" s="1"/>
  <c r="AK28" i="11"/>
  <c r="AK29" i="11" s="1"/>
  <c r="AL28" i="10"/>
  <c r="AL29" i="10" s="1"/>
  <c r="AL28" i="9"/>
  <c r="AL29" i="9" s="1"/>
  <c r="AI39" i="8"/>
  <c r="D39" i="8" s="1"/>
  <c r="AI37" i="8"/>
  <c r="D37" i="8" s="1"/>
  <c r="G9" i="8" s="1"/>
  <c r="AI38" i="8"/>
  <c r="D38" i="8" s="1"/>
  <c r="AK28" i="8"/>
  <c r="AK29" i="8" s="1"/>
  <c r="AI67" i="7"/>
  <c r="AI66" i="7"/>
  <c r="AI68" i="7"/>
  <c r="AK28" i="7"/>
  <c r="AK29" i="7" s="1"/>
  <c r="D39" i="2"/>
  <c r="D37" i="2"/>
  <c r="G9" i="2" s="1"/>
  <c r="D38" i="2"/>
  <c r="AF28" i="2"/>
  <c r="AF29" i="2" s="1"/>
  <c r="F25" i="3" l="1"/>
  <c r="F28" i="3" s="1"/>
  <c r="F32" i="30"/>
  <c r="F35" i="30" s="1"/>
  <c r="AL28" i="1"/>
  <c r="AK29" i="1"/>
  <c r="AJ68" i="1"/>
  <c r="AJ66" i="1"/>
  <c r="AJ67" i="1"/>
  <c r="F7" i="3"/>
  <c r="F13" i="3" s="1"/>
  <c r="AN28" i="15"/>
  <c r="AN29" i="15" s="1"/>
  <c r="AM58" i="14"/>
  <c r="AM59" i="14"/>
  <c r="AM57" i="14"/>
  <c r="AO28" i="14"/>
  <c r="AO29" i="14" s="1"/>
  <c r="AK66" i="9"/>
  <c r="AK68" i="9"/>
  <c r="AK67" i="9"/>
  <c r="AJ66" i="11"/>
  <c r="AJ67" i="11"/>
  <c r="AJ68" i="11"/>
  <c r="AJ66" i="8"/>
  <c r="AJ68" i="8"/>
  <c r="AJ67" i="8"/>
  <c r="AK67" i="10"/>
  <c r="AK66" i="10"/>
  <c r="AK68" i="10"/>
  <c r="AK66" i="12"/>
  <c r="AK67" i="12"/>
  <c r="AK68" i="12"/>
  <c r="AJ68" i="13"/>
  <c r="AJ66" i="13"/>
  <c r="AJ67" i="13"/>
  <c r="AL28" i="13"/>
  <c r="AL29" i="13" s="1"/>
  <c r="AM28" i="12"/>
  <c r="AM29" i="12" s="1"/>
  <c r="AL28" i="11"/>
  <c r="AL29" i="11" s="1"/>
  <c r="AM28" i="10"/>
  <c r="AM29" i="10" s="1"/>
  <c r="AM28" i="9"/>
  <c r="AM29" i="9" s="1"/>
  <c r="AL28" i="8"/>
  <c r="AL29" i="8" s="1"/>
  <c r="AJ67" i="7"/>
  <c r="AJ66" i="7"/>
  <c r="AJ68" i="7"/>
  <c r="AL28" i="7"/>
  <c r="AL29" i="7" s="1"/>
  <c r="AG28" i="2"/>
  <c r="AG29" i="2" s="1"/>
  <c r="AK66" i="1" l="1"/>
  <c r="AK67" i="1"/>
  <c r="AK68" i="1"/>
  <c r="AM28" i="1"/>
  <c r="AL29" i="1"/>
  <c r="AO28" i="15"/>
  <c r="AO29" i="15" s="1"/>
  <c r="AN59" i="14"/>
  <c r="AN58" i="14"/>
  <c r="AN57" i="14"/>
  <c r="AP28" i="14"/>
  <c r="AP29" i="14" s="1"/>
  <c r="AL66" i="10"/>
  <c r="AL68" i="10"/>
  <c r="AL67" i="10"/>
  <c r="AL67" i="9"/>
  <c r="AL66" i="9"/>
  <c r="AL68" i="9"/>
  <c r="AK68" i="11"/>
  <c r="AK66" i="11"/>
  <c r="AK67" i="11"/>
  <c r="AK66" i="8"/>
  <c r="AK68" i="8"/>
  <c r="AK67" i="8"/>
  <c r="AL67" i="12"/>
  <c r="AL68" i="12"/>
  <c r="AL66" i="12"/>
  <c r="AK68" i="13"/>
  <c r="AK66" i="13"/>
  <c r="AK67" i="13"/>
  <c r="AM28" i="13"/>
  <c r="AM29" i="13" s="1"/>
  <c r="AN28" i="12"/>
  <c r="AN29" i="12" s="1"/>
  <c r="AM28" i="11"/>
  <c r="AM29" i="11" s="1"/>
  <c r="AN28" i="10"/>
  <c r="AN29" i="10" s="1"/>
  <c r="AN28" i="9"/>
  <c r="AN29" i="9" s="1"/>
  <c r="AM28" i="8"/>
  <c r="AM29" i="8" s="1"/>
  <c r="AM28" i="7"/>
  <c r="AM29" i="7" s="1"/>
  <c r="AK67" i="7"/>
  <c r="AK66" i="7"/>
  <c r="AK68" i="7"/>
  <c r="AH28" i="2"/>
  <c r="AH29" i="2" s="1"/>
  <c r="AN28" i="1" l="1"/>
  <c r="AM29" i="1"/>
  <c r="AL66" i="1"/>
  <c r="AL67" i="1"/>
  <c r="AL68" i="1"/>
  <c r="AP28" i="15"/>
  <c r="AP29" i="15" s="1"/>
  <c r="AO59" i="14"/>
  <c r="AO58" i="14"/>
  <c r="AO57" i="14"/>
  <c r="AQ28" i="14"/>
  <c r="AQ29" i="14" s="1"/>
  <c r="AM68" i="9"/>
  <c r="AM66" i="9"/>
  <c r="AM67" i="9"/>
  <c r="AL68" i="11"/>
  <c r="AL67" i="11"/>
  <c r="AL66" i="11"/>
  <c r="AL67" i="8"/>
  <c r="AL68" i="8"/>
  <c r="AL66" i="8"/>
  <c r="AM68" i="10"/>
  <c r="AM67" i="10"/>
  <c r="AM66" i="10"/>
  <c r="AM67" i="12"/>
  <c r="AM66" i="12"/>
  <c r="AM68" i="12"/>
  <c r="AL67" i="13"/>
  <c r="AL66" i="13"/>
  <c r="AL68" i="13"/>
  <c r="AN28" i="13"/>
  <c r="AN29" i="13" s="1"/>
  <c r="AO28" i="12"/>
  <c r="AO29" i="12" s="1"/>
  <c r="AN28" i="11"/>
  <c r="AN29" i="11" s="1"/>
  <c r="AO28" i="10"/>
  <c r="AO29" i="10" s="1"/>
  <c r="AO28" i="9"/>
  <c r="AO29" i="9" s="1"/>
  <c r="AN28" i="8"/>
  <c r="AN29" i="8" s="1"/>
  <c r="AN28" i="7"/>
  <c r="AN29" i="7" s="1"/>
  <c r="AL68" i="7"/>
  <c r="AL66" i="7"/>
  <c r="AL67" i="7"/>
  <c r="AI28" i="2"/>
  <c r="AI29" i="2" s="1"/>
  <c r="AM67" i="1" l="1"/>
  <c r="AM66" i="1"/>
  <c r="AM68" i="1"/>
  <c r="AO28" i="1"/>
  <c r="AN29" i="1"/>
  <c r="AQ28" i="15"/>
  <c r="AQ29" i="15" s="1"/>
  <c r="AP57" i="14"/>
  <c r="AP59" i="14"/>
  <c r="AP58" i="14"/>
  <c r="AR28" i="14"/>
  <c r="AR29" i="14" s="1"/>
  <c r="AM66" i="8"/>
  <c r="AM68" i="8"/>
  <c r="AM67" i="8"/>
  <c r="AN66" i="9"/>
  <c r="AN68" i="9"/>
  <c r="AN67" i="9"/>
  <c r="AM66" i="11"/>
  <c r="AM68" i="11"/>
  <c r="AM67" i="11"/>
  <c r="AN67" i="10"/>
  <c r="AN66" i="10"/>
  <c r="AN68" i="10"/>
  <c r="AN68" i="12"/>
  <c r="AN66" i="12"/>
  <c r="AN67" i="12"/>
  <c r="AM67" i="13"/>
  <c r="AM68" i="13"/>
  <c r="AM66" i="13"/>
  <c r="AO28" i="13"/>
  <c r="AO29" i="13" s="1"/>
  <c r="AP28" i="12"/>
  <c r="AP29" i="12" s="1"/>
  <c r="AO28" i="11"/>
  <c r="AO29" i="11" s="1"/>
  <c r="AP28" i="10"/>
  <c r="AP29" i="10" s="1"/>
  <c r="AP28" i="9"/>
  <c r="AP29" i="9" s="1"/>
  <c r="AO28" i="8"/>
  <c r="AO29" i="8" s="1"/>
  <c r="AM66" i="7"/>
  <c r="AM68" i="7"/>
  <c r="AM67" i="7"/>
  <c r="AO28" i="7"/>
  <c r="AO29" i="7" s="1"/>
  <c r="AJ28" i="2"/>
  <c r="AJ29" i="2" s="1"/>
  <c r="AP28" i="1" l="1"/>
  <c r="AO29" i="1"/>
  <c r="AN67" i="1"/>
  <c r="AN66" i="1"/>
  <c r="AN68" i="1"/>
  <c r="AR28" i="15"/>
  <c r="AR29" i="15" s="1"/>
  <c r="AQ58" i="14"/>
  <c r="AQ59" i="14"/>
  <c r="AQ57" i="14"/>
  <c r="AS28" i="14"/>
  <c r="AS29" i="14" s="1"/>
  <c r="AN67" i="11"/>
  <c r="AN66" i="11"/>
  <c r="AN68" i="11"/>
  <c r="AO66" i="9"/>
  <c r="AO67" i="9"/>
  <c r="AO68" i="9"/>
  <c r="AN66" i="8"/>
  <c r="AN67" i="8"/>
  <c r="AN68" i="8"/>
  <c r="AO67" i="10"/>
  <c r="AO66" i="10"/>
  <c r="AO68" i="10"/>
  <c r="AO68" i="12"/>
  <c r="AO67" i="12"/>
  <c r="AO66" i="12"/>
  <c r="AN66" i="13"/>
  <c r="AN67" i="13"/>
  <c r="AN68" i="13"/>
  <c r="AP28" i="13"/>
  <c r="AP29" i="13" s="1"/>
  <c r="AQ28" i="12"/>
  <c r="AQ29" i="12" s="1"/>
  <c r="AP28" i="11"/>
  <c r="AP29" i="11" s="1"/>
  <c r="AQ28" i="10"/>
  <c r="AQ29" i="10" s="1"/>
  <c r="AQ28" i="9"/>
  <c r="AQ29" i="9" s="1"/>
  <c r="AP28" i="8"/>
  <c r="AP29" i="8" s="1"/>
  <c r="AP28" i="7"/>
  <c r="AP29" i="7" s="1"/>
  <c r="AN67" i="7"/>
  <c r="AN68" i="7"/>
  <c r="AN66" i="7"/>
  <c r="AK28" i="2"/>
  <c r="AK29" i="2" s="1"/>
  <c r="AO68" i="1" l="1"/>
  <c r="AO66" i="1"/>
  <c r="AO67" i="1"/>
  <c r="AQ28" i="1"/>
  <c r="AP29" i="1"/>
  <c r="AS28" i="15"/>
  <c r="AS29" i="15" s="1"/>
  <c r="AR59" i="14"/>
  <c r="AR57" i="14"/>
  <c r="AR58" i="14"/>
  <c r="AT28" i="14"/>
  <c r="AT29" i="14" s="1"/>
  <c r="AP66" i="10"/>
  <c r="AP67" i="10"/>
  <c r="AP68" i="10"/>
  <c r="AP67" i="9"/>
  <c r="AP68" i="9"/>
  <c r="AP66" i="9"/>
  <c r="AO67" i="11"/>
  <c r="AO68" i="11"/>
  <c r="AO66" i="11"/>
  <c r="AO67" i="8"/>
  <c r="AO66" i="8"/>
  <c r="AO68" i="8"/>
  <c r="AP68" i="12"/>
  <c r="AP66" i="12"/>
  <c r="AP67" i="12"/>
  <c r="AO67" i="13"/>
  <c r="AO68" i="13"/>
  <c r="AO66" i="13"/>
  <c r="AQ28" i="13"/>
  <c r="AQ29" i="13" s="1"/>
  <c r="AR28" i="12"/>
  <c r="AR29" i="12" s="1"/>
  <c r="AQ28" i="11"/>
  <c r="AQ29" i="11" s="1"/>
  <c r="AR28" i="10"/>
  <c r="AR29" i="10" s="1"/>
  <c r="AR28" i="9"/>
  <c r="AR29" i="9" s="1"/>
  <c r="AQ28" i="8"/>
  <c r="AQ29" i="8" s="1"/>
  <c r="AQ28" i="7"/>
  <c r="AQ29" i="7" s="1"/>
  <c r="AO68" i="7"/>
  <c r="AO67" i="7"/>
  <c r="AO66" i="7"/>
  <c r="AL28" i="2"/>
  <c r="AL29" i="2" s="1"/>
  <c r="AR28" i="1" l="1"/>
  <c r="AQ29" i="1"/>
  <c r="AP68" i="1"/>
  <c r="AP66" i="1"/>
  <c r="AP67" i="1"/>
  <c r="AT28" i="15"/>
  <c r="AT29" i="15" s="1"/>
  <c r="AS58" i="14"/>
  <c r="AS57" i="14"/>
  <c r="AS59" i="14"/>
  <c r="AU28" i="14"/>
  <c r="AU29" i="14" s="1"/>
  <c r="AQ67" i="9"/>
  <c r="AQ66" i="9"/>
  <c r="AQ68" i="9"/>
  <c r="AP67" i="11"/>
  <c r="AP68" i="11"/>
  <c r="AP66" i="11"/>
  <c r="AP67" i="8"/>
  <c r="AP66" i="8"/>
  <c r="AP68" i="8"/>
  <c r="AQ67" i="10"/>
  <c r="AQ66" i="10"/>
  <c r="AQ68" i="10"/>
  <c r="AQ67" i="12"/>
  <c r="AQ66" i="12"/>
  <c r="AQ68" i="12"/>
  <c r="AR28" i="13"/>
  <c r="AR29" i="13" s="1"/>
  <c r="AP66" i="13"/>
  <c r="AP68" i="13"/>
  <c r="AP67" i="13"/>
  <c r="AS28" i="12"/>
  <c r="AS29" i="12" s="1"/>
  <c r="AR28" i="11"/>
  <c r="AR29" i="11" s="1"/>
  <c r="AS28" i="10"/>
  <c r="AS29" i="10" s="1"/>
  <c r="AS28" i="9"/>
  <c r="AS29" i="9" s="1"/>
  <c r="AR28" i="8"/>
  <c r="AR29" i="8" s="1"/>
  <c r="AR28" i="7"/>
  <c r="AR29" i="7" s="1"/>
  <c r="AP67" i="7"/>
  <c r="AP66" i="7"/>
  <c r="AP68" i="7"/>
  <c r="AM28" i="2"/>
  <c r="AM29" i="2" s="1"/>
  <c r="AQ66" i="1" l="1"/>
  <c r="AQ67" i="1"/>
  <c r="AQ68" i="1"/>
  <c r="AS28" i="1"/>
  <c r="AR29" i="1"/>
  <c r="AU28" i="15"/>
  <c r="AU29" i="15" s="1"/>
  <c r="AT59" i="14"/>
  <c r="AT58" i="14"/>
  <c r="AT57" i="14"/>
  <c r="AV28" i="14"/>
  <c r="AV29" i="14" s="1"/>
  <c r="AR67" i="9"/>
  <c r="AR66" i="9"/>
  <c r="AR68" i="9"/>
  <c r="AQ68" i="11"/>
  <c r="AQ66" i="11"/>
  <c r="AQ67" i="11"/>
  <c r="AR68" i="10"/>
  <c r="AR66" i="10"/>
  <c r="AR67" i="10"/>
  <c r="AQ67" i="8"/>
  <c r="AQ66" i="8"/>
  <c r="AQ68" i="8"/>
  <c r="AR66" i="12"/>
  <c r="AR67" i="12"/>
  <c r="AR68" i="12"/>
  <c r="AS28" i="13"/>
  <c r="AS29" i="13" s="1"/>
  <c r="AQ67" i="13"/>
  <c r="AQ66" i="13"/>
  <c r="AQ68" i="13"/>
  <c r="AT28" i="12"/>
  <c r="AT29" i="12" s="1"/>
  <c r="AS28" i="11"/>
  <c r="AS29" i="11" s="1"/>
  <c r="AT28" i="10"/>
  <c r="AT29" i="10" s="1"/>
  <c r="AT28" i="9"/>
  <c r="AT29" i="9" s="1"/>
  <c r="AS28" i="8"/>
  <c r="AS29" i="8" s="1"/>
  <c r="AS28" i="7"/>
  <c r="AS29" i="7" s="1"/>
  <c r="AQ66" i="7"/>
  <c r="AQ68" i="7"/>
  <c r="AQ67" i="7"/>
  <c r="AN28" i="2"/>
  <c r="AN29" i="2" s="1"/>
  <c r="AT28" i="1" l="1"/>
  <c r="AS29" i="1"/>
  <c r="AR67" i="1"/>
  <c r="AR68" i="1"/>
  <c r="AR66" i="1"/>
  <c r="AV28" i="15"/>
  <c r="AV29" i="15" s="1"/>
  <c r="AU58" i="14"/>
  <c r="AU57" i="14"/>
  <c r="AU59" i="14"/>
  <c r="AW28" i="14"/>
  <c r="AW29" i="14" s="1"/>
  <c r="AS68" i="10"/>
  <c r="AS67" i="10"/>
  <c r="AS66" i="10"/>
  <c r="AS68" i="9"/>
  <c r="AS66" i="9"/>
  <c r="AS67" i="9"/>
  <c r="AR68" i="11"/>
  <c r="AR66" i="11"/>
  <c r="AR67" i="11"/>
  <c r="AR68" i="8"/>
  <c r="AR66" i="8"/>
  <c r="AR67" i="8"/>
  <c r="AS67" i="12"/>
  <c r="AS66" i="12"/>
  <c r="AS68" i="12"/>
  <c r="AT28" i="13"/>
  <c r="AT29" i="13" s="1"/>
  <c r="AR66" i="13"/>
  <c r="AR67" i="13"/>
  <c r="AR68" i="13"/>
  <c r="AU28" i="12"/>
  <c r="AU29" i="12" s="1"/>
  <c r="AT28" i="11"/>
  <c r="AT29" i="11" s="1"/>
  <c r="AU28" i="10"/>
  <c r="AU29" i="10" s="1"/>
  <c r="AU28" i="9"/>
  <c r="AU29" i="9" s="1"/>
  <c r="AT28" i="8"/>
  <c r="AT29" i="8" s="1"/>
  <c r="AR67" i="7"/>
  <c r="AR66" i="7"/>
  <c r="AR68" i="7"/>
  <c r="AT28" i="7"/>
  <c r="AT29" i="7" s="1"/>
  <c r="AO28" i="2"/>
  <c r="AO29" i="2" s="1"/>
  <c r="AS67" i="1" l="1"/>
  <c r="AS66" i="1"/>
  <c r="AS68" i="1"/>
  <c r="AU28" i="1"/>
  <c r="AT29" i="1"/>
  <c r="AW28" i="15"/>
  <c r="AW29" i="15" s="1"/>
  <c r="AV58" i="14"/>
  <c r="AV57" i="14"/>
  <c r="AV59" i="14"/>
  <c r="AX28" i="14"/>
  <c r="AX29" i="14" s="1"/>
  <c r="AT66" i="9"/>
  <c r="AT67" i="9"/>
  <c r="AT68" i="9"/>
  <c r="AS67" i="11"/>
  <c r="AS66" i="11"/>
  <c r="AS68" i="11"/>
  <c r="AS68" i="8"/>
  <c r="AS67" i="8"/>
  <c r="AS66" i="8"/>
  <c r="AT67" i="10"/>
  <c r="AT66" i="10"/>
  <c r="AT68" i="10"/>
  <c r="AT68" i="12"/>
  <c r="AT67" i="12"/>
  <c r="AT66" i="12"/>
  <c r="AU28" i="13"/>
  <c r="AU29" i="13" s="1"/>
  <c r="AS68" i="13"/>
  <c r="AS67" i="13"/>
  <c r="AS66" i="13"/>
  <c r="AV28" i="12"/>
  <c r="AV29" i="12" s="1"/>
  <c r="AU28" i="11"/>
  <c r="AU29" i="11" s="1"/>
  <c r="AV28" i="10"/>
  <c r="AV29" i="10" s="1"/>
  <c r="AV28" i="9"/>
  <c r="AV29" i="9" s="1"/>
  <c r="AU28" i="8"/>
  <c r="AU29" i="8" s="1"/>
  <c r="AS67" i="7"/>
  <c r="AS68" i="7"/>
  <c r="AS66" i="7"/>
  <c r="AU28" i="7"/>
  <c r="AU29" i="7" s="1"/>
  <c r="AP28" i="2"/>
  <c r="AP29" i="2" s="1"/>
  <c r="AV28" i="1" l="1"/>
  <c r="AU29" i="1"/>
  <c r="AT68" i="1"/>
  <c r="AT66" i="1"/>
  <c r="AT67" i="1"/>
  <c r="AX28" i="15"/>
  <c r="AX29" i="15" s="1"/>
  <c r="AW59" i="14"/>
  <c r="AW58" i="14"/>
  <c r="AW57" i="14"/>
  <c r="AY28" i="14"/>
  <c r="AY29" i="14" s="1"/>
  <c r="AU68" i="9"/>
  <c r="AU67" i="9"/>
  <c r="AU66" i="9"/>
  <c r="AT66" i="11"/>
  <c r="AT68" i="11"/>
  <c r="AT67" i="11"/>
  <c r="AT68" i="8"/>
  <c r="AT67" i="8"/>
  <c r="AT66" i="8"/>
  <c r="AU66" i="10"/>
  <c r="AU68" i="10"/>
  <c r="AU67" i="10"/>
  <c r="AU68" i="12"/>
  <c r="AU66" i="12"/>
  <c r="AU67" i="12"/>
  <c r="AT68" i="13"/>
  <c r="AT66" i="13"/>
  <c r="AT67" i="13"/>
  <c r="AV28" i="13"/>
  <c r="AV29" i="13" s="1"/>
  <c r="AW28" i="12"/>
  <c r="AW29" i="12" s="1"/>
  <c r="AV28" i="11"/>
  <c r="AV29" i="11" s="1"/>
  <c r="AW28" i="10"/>
  <c r="AW29" i="10" s="1"/>
  <c r="AW28" i="9"/>
  <c r="AW29" i="9" s="1"/>
  <c r="AV28" i="8"/>
  <c r="AV29" i="8" s="1"/>
  <c r="AT66" i="7"/>
  <c r="AT68" i="7"/>
  <c r="AT67" i="7"/>
  <c r="AV28" i="7"/>
  <c r="AV29" i="7" s="1"/>
  <c r="AQ28" i="2"/>
  <c r="AQ29" i="2" s="1"/>
  <c r="AW28" i="1" l="1"/>
  <c r="AV29" i="1"/>
  <c r="AU67" i="1"/>
  <c r="AU68" i="1"/>
  <c r="AU66" i="1"/>
  <c r="AY28" i="15"/>
  <c r="AY29" i="15" s="1"/>
  <c r="AX57" i="14"/>
  <c r="AX58" i="14"/>
  <c r="AX59" i="14"/>
  <c r="AZ28" i="14"/>
  <c r="AZ29" i="14" s="1"/>
  <c r="AU67" i="8"/>
  <c r="AU68" i="8"/>
  <c r="AU66" i="8"/>
  <c r="AU67" i="11"/>
  <c r="AU66" i="11"/>
  <c r="AU68" i="11"/>
  <c r="AV66" i="10"/>
  <c r="AV67" i="10"/>
  <c r="AV68" i="10"/>
  <c r="AV68" i="9"/>
  <c r="AV66" i="9"/>
  <c r="AV67" i="9"/>
  <c r="AV68" i="12"/>
  <c r="AV67" i="12"/>
  <c r="AV66" i="12"/>
  <c r="AU66" i="13"/>
  <c r="AU67" i="13"/>
  <c r="AU68" i="13"/>
  <c r="AW28" i="13"/>
  <c r="AW29" i="13" s="1"/>
  <c r="AX28" i="12"/>
  <c r="AX29" i="12" s="1"/>
  <c r="AW28" i="11"/>
  <c r="AW29" i="11" s="1"/>
  <c r="AX28" i="10"/>
  <c r="AX29" i="10" s="1"/>
  <c r="AX28" i="9"/>
  <c r="AX29" i="9" s="1"/>
  <c r="AW28" i="8"/>
  <c r="AW29" i="8" s="1"/>
  <c r="AU66" i="7"/>
  <c r="AU67" i="7"/>
  <c r="AU68" i="7"/>
  <c r="AW28" i="7"/>
  <c r="AW29" i="7" s="1"/>
  <c r="AR28" i="2"/>
  <c r="AR29" i="2" s="1"/>
  <c r="AV66" i="1" l="1"/>
  <c r="AV68" i="1"/>
  <c r="AV67" i="1"/>
  <c r="AX28" i="1"/>
  <c r="AW29" i="1"/>
  <c r="AZ28" i="15"/>
  <c r="AZ29" i="15" s="1"/>
  <c r="AY57" i="14"/>
  <c r="AY59" i="14"/>
  <c r="AY58" i="14"/>
  <c r="BA28" i="14"/>
  <c r="BA29" i="14" s="1"/>
  <c r="AV67" i="11"/>
  <c r="AV66" i="11"/>
  <c r="AV68" i="11"/>
  <c r="AW68" i="9"/>
  <c r="AW67" i="9"/>
  <c r="AW66" i="9"/>
  <c r="AV68" i="8"/>
  <c r="AV67" i="8"/>
  <c r="AV66" i="8"/>
  <c r="AW66" i="10"/>
  <c r="AW68" i="10"/>
  <c r="AW67" i="10"/>
  <c r="AW66" i="12"/>
  <c r="AW68" i="12"/>
  <c r="AW67" i="12"/>
  <c r="AV67" i="13"/>
  <c r="AV68" i="13"/>
  <c r="AV66" i="13"/>
  <c r="AX28" i="13"/>
  <c r="AX29" i="13" s="1"/>
  <c r="AY28" i="12"/>
  <c r="AY29" i="12" s="1"/>
  <c r="AX28" i="11"/>
  <c r="AX29" i="11" s="1"/>
  <c r="AY28" i="10"/>
  <c r="AY29" i="10" s="1"/>
  <c r="AY28" i="9"/>
  <c r="AY29" i="9" s="1"/>
  <c r="AX28" i="8"/>
  <c r="AX29" i="8" s="1"/>
  <c r="AX28" i="7"/>
  <c r="AX29" i="7" s="1"/>
  <c r="AV67" i="7"/>
  <c r="AV66" i="7"/>
  <c r="AV68" i="7"/>
  <c r="AS28" i="2"/>
  <c r="AS29" i="2" s="1"/>
  <c r="AY28" i="1" l="1"/>
  <c r="AX29" i="1"/>
  <c r="AW68" i="1"/>
  <c r="AW66" i="1"/>
  <c r="AW67" i="1"/>
  <c r="BA28" i="15"/>
  <c r="BA29" i="15" s="1"/>
  <c r="AZ58" i="14"/>
  <c r="AZ59" i="14"/>
  <c r="AZ57" i="14"/>
  <c r="BB28" i="14"/>
  <c r="BB29" i="14" s="1"/>
  <c r="AX68" i="9"/>
  <c r="AX67" i="9"/>
  <c r="AX66" i="9"/>
  <c r="AW68" i="11"/>
  <c r="AW66" i="11"/>
  <c r="AW67" i="11"/>
  <c r="AX67" i="10"/>
  <c r="AX68" i="10"/>
  <c r="AX66" i="10"/>
  <c r="AW68" i="8"/>
  <c r="AW67" i="8"/>
  <c r="AW66" i="8"/>
  <c r="AX67" i="12"/>
  <c r="AX68" i="12"/>
  <c r="AX66" i="12"/>
  <c r="AW68" i="13"/>
  <c r="AW66" i="13"/>
  <c r="AW67" i="13"/>
  <c r="AY28" i="13"/>
  <c r="AY29" i="13" s="1"/>
  <c r="AZ28" i="12"/>
  <c r="AZ29" i="12" s="1"/>
  <c r="AY28" i="11"/>
  <c r="AY29" i="11" s="1"/>
  <c r="AZ28" i="10"/>
  <c r="AZ29" i="10" s="1"/>
  <c r="AZ28" i="9"/>
  <c r="AZ29" i="9" s="1"/>
  <c r="AY28" i="8"/>
  <c r="AY29" i="8" s="1"/>
  <c r="AY28" i="7"/>
  <c r="AY29" i="7" s="1"/>
  <c r="AW68" i="7"/>
  <c r="AW67" i="7"/>
  <c r="AW66" i="7"/>
  <c r="AT28" i="2"/>
  <c r="AT29" i="2" s="1"/>
  <c r="AX68" i="1" l="1"/>
  <c r="AX66" i="1"/>
  <c r="AX67" i="1"/>
  <c r="AZ28" i="1"/>
  <c r="AY29" i="1"/>
  <c r="BB28" i="15"/>
  <c r="BB29" i="15" s="1"/>
  <c r="BA59" i="14"/>
  <c r="BA57" i="14"/>
  <c r="BA58" i="14"/>
  <c r="BC28" i="14"/>
  <c r="BC29" i="14" s="1"/>
  <c r="AY66" i="12"/>
  <c r="AY67" i="12"/>
  <c r="AY68" i="12"/>
  <c r="AY67" i="9"/>
  <c r="AY66" i="9"/>
  <c r="AY68" i="9"/>
  <c r="AX66" i="11"/>
  <c r="AX68" i="11"/>
  <c r="AX67" i="11"/>
  <c r="AX67" i="8"/>
  <c r="AX68" i="8"/>
  <c r="AX66" i="8"/>
  <c r="AY67" i="10"/>
  <c r="AY66" i="10"/>
  <c r="AY68" i="10"/>
  <c r="AZ28" i="13"/>
  <c r="AZ29" i="13" s="1"/>
  <c r="AX66" i="13"/>
  <c r="AX68" i="13"/>
  <c r="AX67" i="13"/>
  <c r="BA28" i="12"/>
  <c r="BA29" i="12" s="1"/>
  <c r="AZ28" i="11"/>
  <c r="AZ29" i="11" s="1"/>
  <c r="BA28" i="10"/>
  <c r="BA29" i="10" s="1"/>
  <c r="BA28" i="9"/>
  <c r="BA29" i="9" s="1"/>
  <c r="AZ28" i="8"/>
  <c r="AZ29" i="8" s="1"/>
  <c r="AZ28" i="7"/>
  <c r="AZ29" i="7" s="1"/>
  <c r="AX68" i="7"/>
  <c r="AX67" i="7"/>
  <c r="AX66" i="7"/>
  <c r="AU28" i="2"/>
  <c r="AU29" i="2" s="1"/>
  <c r="BA28" i="1" l="1"/>
  <c r="AZ29" i="1"/>
  <c r="AY66" i="1"/>
  <c r="AY67" i="1"/>
  <c r="AY68" i="1"/>
  <c r="BC28" i="15"/>
  <c r="BC29" i="15" s="1"/>
  <c r="BB59" i="14"/>
  <c r="BB58" i="14"/>
  <c r="BB57" i="14"/>
  <c r="BD28" i="14"/>
  <c r="BD29" i="14" s="1"/>
  <c r="AY66" i="11"/>
  <c r="AY67" i="11"/>
  <c r="AY68" i="11"/>
  <c r="AY68" i="8"/>
  <c r="AY67" i="8"/>
  <c r="AY66" i="8"/>
  <c r="AZ66" i="10"/>
  <c r="AZ68" i="10"/>
  <c r="AZ67" i="10"/>
  <c r="AZ66" i="9"/>
  <c r="AZ68" i="9"/>
  <c r="AZ67" i="9"/>
  <c r="AZ66" i="12"/>
  <c r="AZ68" i="12"/>
  <c r="AZ67" i="12"/>
  <c r="BA28" i="13"/>
  <c r="BA29" i="13" s="1"/>
  <c r="AY66" i="13"/>
  <c r="AY67" i="13"/>
  <c r="AY68" i="13"/>
  <c r="BB28" i="12"/>
  <c r="BB29" i="12" s="1"/>
  <c r="BA28" i="11"/>
  <c r="BA29" i="11" s="1"/>
  <c r="BB28" i="10"/>
  <c r="BB29" i="10" s="1"/>
  <c r="BB28" i="9"/>
  <c r="BB29" i="9" s="1"/>
  <c r="BA28" i="8"/>
  <c r="BA29" i="8" s="1"/>
  <c r="BA28" i="7"/>
  <c r="BA29" i="7" s="1"/>
  <c r="AY67" i="7"/>
  <c r="AY66" i="7"/>
  <c r="AY68" i="7"/>
  <c r="AV28" i="2"/>
  <c r="AV29" i="2" s="1"/>
  <c r="AZ67" i="1" l="1"/>
  <c r="AZ66" i="1"/>
  <c r="AZ68" i="1"/>
  <c r="BB28" i="1"/>
  <c r="BA29" i="1"/>
  <c r="BD28" i="15"/>
  <c r="BD29" i="15" s="1"/>
  <c r="BC59" i="14"/>
  <c r="BC57" i="14"/>
  <c r="BC58" i="14"/>
  <c r="BE28" i="14"/>
  <c r="BE29" i="14" s="1"/>
  <c r="BA68" i="9"/>
  <c r="BA67" i="9"/>
  <c r="BA66" i="9"/>
  <c r="AZ68" i="11"/>
  <c r="AZ67" i="11"/>
  <c r="AZ66" i="11"/>
  <c r="AZ68" i="8"/>
  <c r="AZ67" i="8"/>
  <c r="AZ66" i="8"/>
  <c r="BA67" i="10"/>
  <c r="BA66" i="10"/>
  <c r="BA68" i="10"/>
  <c r="BA67" i="12"/>
  <c r="BA68" i="12"/>
  <c r="BA66" i="12"/>
  <c r="BB28" i="13"/>
  <c r="BB29" i="13" s="1"/>
  <c r="AZ66" i="13"/>
  <c r="AZ67" i="13"/>
  <c r="AZ68" i="13"/>
  <c r="BC28" i="12"/>
  <c r="BC29" i="12" s="1"/>
  <c r="BC28" i="10"/>
  <c r="BC29" i="10" s="1"/>
  <c r="BC28" i="9"/>
  <c r="BC29" i="9" s="1"/>
  <c r="BB28" i="8"/>
  <c r="BB29" i="8" s="1"/>
  <c r="AZ66" i="7"/>
  <c r="AZ67" i="7"/>
  <c r="AZ68" i="7"/>
  <c r="BB28" i="7"/>
  <c r="BB29" i="7" s="1"/>
  <c r="AW28" i="2"/>
  <c r="AW29" i="2" s="1"/>
  <c r="BA66" i="1" l="1"/>
  <c r="BA67" i="1"/>
  <c r="BA68" i="1"/>
  <c r="BC28" i="1"/>
  <c r="BB29" i="1"/>
  <c r="BE28" i="15"/>
  <c r="BE29" i="15" s="1"/>
  <c r="BD59" i="14"/>
  <c r="BD57" i="14"/>
  <c r="BD58" i="14"/>
  <c r="BF28" i="14"/>
  <c r="BF29" i="14" s="1"/>
  <c r="BA66" i="11"/>
  <c r="BA68" i="11"/>
  <c r="BA67" i="11"/>
  <c r="BB68" i="9"/>
  <c r="BB66" i="9"/>
  <c r="BB67" i="9"/>
  <c r="BA67" i="8"/>
  <c r="BA66" i="8"/>
  <c r="BA68" i="8"/>
  <c r="BB66" i="10"/>
  <c r="BB67" i="10"/>
  <c r="BB68" i="10"/>
  <c r="BB66" i="12"/>
  <c r="BB68" i="12"/>
  <c r="BB67" i="12"/>
  <c r="BC28" i="13"/>
  <c r="BC29" i="13" s="1"/>
  <c r="BA67" i="13"/>
  <c r="BA68" i="13"/>
  <c r="BA66" i="13"/>
  <c r="BD28" i="12"/>
  <c r="BD29" i="12" s="1"/>
  <c r="BD28" i="9"/>
  <c r="BD29" i="9" s="1"/>
  <c r="BC28" i="8"/>
  <c r="BC29" i="8" s="1"/>
  <c r="BC28" i="7"/>
  <c r="BC29" i="7" s="1"/>
  <c r="BA67" i="7"/>
  <c r="BA66" i="7"/>
  <c r="BA68" i="7"/>
  <c r="BD28" i="1" l="1"/>
  <c r="BC29" i="1"/>
  <c r="BB66" i="1"/>
  <c r="BB68" i="1"/>
  <c r="BB67" i="1"/>
  <c r="BF28" i="15"/>
  <c r="BE58" i="14"/>
  <c r="BE57" i="14"/>
  <c r="BE59" i="14"/>
  <c r="BG28" i="14"/>
  <c r="BG29" i="14" s="1"/>
  <c r="BC67" i="9"/>
  <c r="BC68" i="9"/>
  <c r="BC66" i="9"/>
  <c r="BB67" i="8"/>
  <c r="BB68" i="8"/>
  <c r="BB66" i="8"/>
  <c r="BC68" i="10"/>
  <c r="BC66" i="10"/>
  <c r="BC67" i="10"/>
  <c r="BC68" i="12"/>
  <c r="BC66" i="12"/>
  <c r="BC67" i="12"/>
  <c r="BB67" i="13"/>
  <c r="BB66" i="13"/>
  <c r="BB68" i="13"/>
  <c r="BE28" i="12"/>
  <c r="BE29" i="12" s="1"/>
  <c r="BE28" i="9"/>
  <c r="BD28" i="8"/>
  <c r="BD29" i="8" s="1"/>
  <c r="BD28" i="7"/>
  <c r="BD29" i="7" s="1"/>
  <c r="BB67" i="7"/>
  <c r="BB68" i="7"/>
  <c r="BB66" i="7"/>
  <c r="D50" i="2"/>
  <c r="BF29" i="15" l="1"/>
  <c r="BG28" i="15"/>
  <c r="BF28" i="9"/>
  <c r="BF29" i="9" s="1"/>
  <c r="BE29" i="9"/>
  <c r="BC66" i="1"/>
  <c r="BC68" i="1"/>
  <c r="BC67" i="1"/>
  <c r="BE28" i="1"/>
  <c r="BD29" i="1"/>
  <c r="D49" i="16"/>
  <c r="D49" i="2"/>
  <c r="BF57" i="14"/>
  <c r="BF59" i="14"/>
  <c r="BF58" i="14"/>
  <c r="BH28" i="14"/>
  <c r="BH29" i="14" s="1"/>
  <c r="BD66" i="12"/>
  <c r="BD67" i="12"/>
  <c r="BD68" i="12"/>
  <c r="BC68" i="8"/>
  <c r="BC67" i="8"/>
  <c r="BC66" i="8"/>
  <c r="BD68" i="9"/>
  <c r="BD66" i="9"/>
  <c r="BD67" i="9"/>
  <c r="BC67" i="13"/>
  <c r="BC68" i="13"/>
  <c r="BC66" i="13"/>
  <c r="BF28" i="12"/>
  <c r="BF29" i="12" s="1"/>
  <c r="BE28" i="8"/>
  <c r="BE29" i="8" s="1"/>
  <c r="BE28" i="7"/>
  <c r="BE29" i="7" s="1"/>
  <c r="BC67" i="7"/>
  <c r="BC66" i="7"/>
  <c r="BC68" i="7"/>
  <c r="D48" i="2"/>
  <c r="BH28" i="15" l="1"/>
  <c r="BG29" i="15"/>
  <c r="G15" i="2"/>
  <c r="BG28" i="9"/>
  <c r="BG29" i="9" s="1"/>
  <c r="BD67" i="1"/>
  <c r="BD66" i="1"/>
  <c r="BD68" i="1"/>
  <c r="BF28" i="1"/>
  <c r="BE29" i="1"/>
  <c r="D48" i="16"/>
  <c r="G15" i="16" s="1"/>
  <c r="G34" i="30" s="1"/>
  <c r="D50" i="16"/>
  <c r="BG58" i="14"/>
  <c r="BG57" i="14"/>
  <c r="BG59" i="14"/>
  <c r="BI28" i="14"/>
  <c r="BI29" i="14" s="1"/>
  <c r="BD67" i="8"/>
  <c r="BD68" i="8"/>
  <c r="BD66" i="8"/>
  <c r="BF66" i="9"/>
  <c r="BF68" i="9"/>
  <c r="BF67" i="9"/>
  <c r="BE66" i="9"/>
  <c r="BE67" i="9"/>
  <c r="BE68" i="9"/>
  <c r="BE67" i="12"/>
  <c r="BE68" i="12"/>
  <c r="BE66" i="12"/>
  <c r="BG28" i="12"/>
  <c r="BG29" i="12" s="1"/>
  <c r="BF28" i="8"/>
  <c r="BF29" i="8" s="1"/>
  <c r="BD67" i="7"/>
  <c r="BD66" i="7"/>
  <c r="BD68" i="7"/>
  <c r="BF28" i="7"/>
  <c r="BF29" i="7" s="1"/>
  <c r="H34" i="30" l="1"/>
  <c r="I34" i="30"/>
  <c r="G25" i="3"/>
  <c r="H25" i="3" s="1"/>
  <c r="G32" i="30"/>
  <c r="BI28" i="15"/>
  <c r="BH29" i="15"/>
  <c r="BH28" i="9"/>
  <c r="BH29" i="9" s="1"/>
  <c r="G27" i="3"/>
  <c r="H27" i="3" s="1"/>
  <c r="BE67" i="1"/>
  <c r="BE66" i="1"/>
  <c r="BE68" i="1"/>
  <c r="BG28" i="1"/>
  <c r="BF29" i="1"/>
  <c r="BI58" i="14"/>
  <c r="BI57" i="14"/>
  <c r="BI59" i="14"/>
  <c r="BH59" i="14"/>
  <c r="BH57" i="14"/>
  <c r="BH58" i="14"/>
  <c r="BG67" i="9"/>
  <c r="BG66" i="9"/>
  <c r="BG68" i="9"/>
  <c r="BE67" i="8"/>
  <c r="BE68" i="8"/>
  <c r="BE66" i="8"/>
  <c r="BI28" i="9"/>
  <c r="BI29" i="9" s="1"/>
  <c r="BF67" i="12"/>
  <c r="BF66" i="12"/>
  <c r="BF68" i="12"/>
  <c r="BH28" i="12"/>
  <c r="BH29" i="12" s="1"/>
  <c r="BG28" i="8"/>
  <c r="BG29" i="8" s="1"/>
  <c r="BE66" i="7"/>
  <c r="BE68" i="7"/>
  <c r="BE67" i="7"/>
  <c r="BG28" i="7"/>
  <c r="BG29" i="7" s="1"/>
  <c r="I32" i="30" l="1"/>
  <c r="BJ28" i="15"/>
  <c r="BI29" i="15"/>
  <c r="BH28" i="1"/>
  <c r="BH29" i="1" s="1"/>
  <c r="BG29" i="1"/>
  <c r="BF66" i="1"/>
  <c r="BF68" i="1"/>
  <c r="BF67" i="1"/>
  <c r="D59" i="14"/>
  <c r="D57" i="14"/>
  <c r="G15" i="14" s="1"/>
  <c r="G19" i="3" s="1"/>
  <c r="D58" i="14"/>
  <c r="BG68" i="12"/>
  <c r="BG67" i="12"/>
  <c r="BG66" i="12"/>
  <c r="BJ28" i="9"/>
  <c r="BJ29" i="9" s="1"/>
  <c r="BF67" i="8"/>
  <c r="BF68" i="8"/>
  <c r="BF66" i="8"/>
  <c r="BH67" i="9"/>
  <c r="BH66" i="9"/>
  <c r="BH68" i="9"/>
  <c r="BH28" i="8"/>
  <c r="BH29" i="8" s="1"/>
  <c r="BF68" i="7"/>
  <c r="BF67" i="7"/>
  <c r="BF66" i="7"/>
  <c r="BH28" i="7"/>
  <c r="BH29" i="7" s="1"/>
  <c r="H19" i="3" l="1"/>
  <c r="BK28" i="15"/>
  <c r="BJ29" i="15"/>
  <c r="BG66" i="1"/>
  <c r="BG67" i="1"/>
  <c r="BG68" i="1"/>
  <c r="BH66" i="1"/>
  <c r="BH68" i="1"/>
  <c r="BH67" i="1"/>
  <c r="D67" i="1" s="1"/>
  <c r="BH67" i="12"/>
  <c r="BH68" i="12"/>
  <c r="BH66" i="12"/>
  <c r="BI66" i="9"/>
  <c r="BI67" i="9"/>
  <c r="BI68" i="9"/>
  <c r="BK28" i="9"/>
  <c r="BK29" i="9" s="1"/>
  <c r="BG68" i="8"/>
  <c r="BG67" i="8"/>
  <c r="BG66" i="8"/>
  <c r="D67" i="13"/>
  <c r="BI28" i="8"/>
  <c r="BI29" i="8" s="1"/>
  <c r="BG66" i="7"/>
  <c r="BG68" i="7"/>
  <c r="BG67" i="7"/>
  <c r="BH67" i="7"/>
  <c r="BH66" i="7"/>
  <c r="BH68" i="7"/>
  <c r="D68" i="7" s="1"/>
  <c r="D66" i="1" l="1"/>
  <c r="G15" i="1" s="1"/>
  <c r="G5" i="3" s="1"/>
  <c r="BL28" i="15"/>
  <c r="BK29" i="15"/>
  <c r="D68" i="1"/>
  <c r="BH68" i="8"/>
  <c r="BH66" i="8"/>
  <c r="BH67" i="8"/>
  <c r="BJ66" i="9"/>
  <c r="BJ67" i="9"/>
  <c r="BJ68" i="9"/>
  <c r="BL28" i="9"/>
  <c r="BL29" i="9" s="1"/>
  <c r="D66" i="13"/>
  <c r="G15" i="13" s="1"/>
  <c r="D68" i="13"/>
  <c r="BJ28" i="8"/>
  <c r="BJ29" i="8" s="1"/>
  <c r="D66" i="7"/>
  <c r="G15" i="7" s="1"/>
  <c r="D67" i="7"/>
  <c r="H5" i="3" l="1"/>
  <c r="BM28" i="15"/>
  <c r="BL29" i="15"/>
  <c r="G12" i="3"/>
  <c r="G6" i="3"/>
  <c r="BM28" i="9"/>
  <c r="BM29" i="9" s="1"/>
  <c r="BI68" i="8"/>
  <c r="BI66" i="8"/>
  <c r="BI67" i="8"/>
  <c r="BK68" i="9"/>
  <c r="BK66" i="9"/>
  <c r="BK67" i="9"/>
  <c r="BK28" i="8"/>
  <c r="BK29" i="8" s="1"/>
  <c r="H12" i="3" l="1"/>
  <c r="H6" i="3"/>
  <c r="BN28" i="15"/>
  <c r="BM29" i="15"/>
  <c r="BJ67" i="8"/>
  <c r="BJ68" i="8"/>
  <c r="BJ66" i="8"/>
  <c r="BL68" i="9"/>
  <c r="BL66" i="9"/>
  <c r="BL67" i="9"/>
  <c r="BM67" i="9"/>
  <c r="BM68" i="9"/>
  <c r="BM66" i="9"/>
  <c r="BL28" i="8"/>
  <c r="BL29" i="8" s="1"/>
  <c r="BO28" i="15" l="1"/>
  <c r="BO29" i="15" s="1"/>
  <c r="BN29" i="15"/>
  <c r="BK67" i="8"/>
  <c r="BK68" i="8"/>
  <c r="BK66" i="8"/>
  <c r="BM28" i="8"/>
  <c r="BM29" i="8" s="1"/>
  <c r="BL68" i="8" l="1"/>
  <c r="BL67" i="8"/>
  <c r="BL66" i="8"/>
  <c r="BM67" i="8"/>
  <c r="BM68" i="8"/>
  <c r="BM66" i="8"/>
  <c r="D66" i="10"/>
  <c r="G15" i="10" s="1"/>
  <c r="D67" i="10"/>
  <c r="D68" i="10"/>
  <c r="D68" i="9"/>
  <c r="D67" i="9"/>
  <c r="D66" i="9"/>
  <c r="G15" i="9" s="1"/>
  <c r="D49" i="15" l="1"/>
  <c r="D48" i="15"/>
  <c r="G15" i="15" s="1"/>
  <c r="D50" i="15"/>
  <c r="D68" i="8"/>
  <c r="D67" i="8"/>
  <c r="G9" i="3"/>
  <c r="G8" i="3"/>
  <c r="D66" i="8"/>
  <c r="G15" i="8" s="1"/>
  <c r="D66" i="12"/>
  <c r="G15" i="12" s="1"/>
  <c r="D67" i="12"/>
  <c r="D68" i="12"/>
  <c r="G26" i="3" l="1"/>
  <c r="H26" i="3" s="1"/>
  <c r="G33" i="30"/>
  <c r="H9" i="3"/>
  <c r="H8" i="3"/>
  <c r="G11" i="3"/>
  <c r="G7" i="3"/>
  <c r="H33" i="30" l="1"/>
  <c r="I33" i="30"/>
  <c r="G35" i="30"/>
  <c r="H7" i="3"/>
  <c r="H11" i="3"/>
  <c r="D67" i="11"/>
  <c r="D68" i="11"/>
  <c r="D66" i="11"/>
  <c r="G15" i="11" s="1"/>
  <c r="I35" i="30" l="1"/>
  <c r="H35" i="30"/>
  <c r="G10" i="3"/>
  <c r="H10" i="3" l="1"/>
  <c r="G13" i="3"/>
  <c r="G28" i="3"/>
  <c r="H28" i="3" s="1"/>
  <c r="H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tc={8BE10CE5-3863-AB47-BF37-8BB6C8080A40}</author>
    <author>tc={AC6AFBCB-F614-5A42-9FCF-E25300BBB5A5}</author>
    <author>tc={47A31BF6-DD61-5B49-9107-A776272E246F}</author>
    <author>tc={004162AF-97C2-9546-85BB-02B922E20457}</author>
    <author>tc={DD1AEE16-7A8B-9946-AF3E-1D33D7DEE695}</author>
    <author>tc={B709B381-2378-BE4D-A44E-725E0BA33F79}</author>
  </authors>
  <commentList>
    <comment ref="I13" authorId="0" shapeId="0" xr:uid="{8BE10CE5-3863-AB47-BF37-8BB6C8080A40}">
      <text>
        <t xml:space="preserve">[Threaded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
</t>
      </text>
    </comment>
    <comment ref="J13" authorId="1" shapeId="0" xr:uid="{AC6AFBCB-F614-5A42-9FCF-E25300BBB5A5}">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I28" authorId="2" shapeId="0" xr:uid="{47A31BF6-DD61-5B49-9107-A776272E246F}">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J28" authorId="3" shapeId="0" xr:uid="{004162AF-97C2-9546-85BB-02B922E20457}">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I46" authorId="4" shapeId="0" xr:uid="{DD1AEE16-7A8B-9946-AF3E-1D33D7DEE695}">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J46" authorId="5" shapeId="0" xr:uid="{B709B381-2378-BE4D-A44E-725E0BA33F79}">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tc={4212875F-A257-4FF4-836C-E8D3E79668BF}</author>
    <author>tc={C65DF2EF-E410-4C48-BA6E-5D6C7828134C}</author>
    <author>tc={47671E3B-49D9-4C94-BA39-A7CBDAADB7BC}</author>
    <author>tc={8741AEFD-0E5B-4F4A-86DF-902E8382054C}</author>
    <author>tc={D85D8685-F3F0-4E56-A5F1-B7DF86399550}</author>
    <author>tc={D05A888E-57CE-4AA2-98B8-5FE5F385B64A}</author>
    <author>tc={04559E0A-1D50-40F4-A959-70C2A772D3CC}</author>
  </authors>
  <commentList>
    <comment ref="B1" authorId="0" shapeId="0" xr:uid="{4212875F-A257-4FF4-836C-E8D3E79668BF}">
      <text>
        <t xml:space="preserve">[Threaded comment]
Your version of Excel allows you to read this threaded comment; however, any edits to it will get removed if the file is opened in a newer version of Excel. Learn more: https://go.microsoft.com/fwlink/?linkid=870924
Comment:
    LCU Per US$, average of 2019. Taken from https://data.worldbank.org/indicator/PA.NUS.FCRF </t>
      </text>
    </comment>
    <comment ref="J20" authorId="1" shapeId="0" xr:uid="{C65DF2EF-E410-4C48-BA6E-5D6C7828134C}">
      <text>
        <t xml:space="preserve">[Threaded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
</t>
      </text>
    </comment>
    <comment ref="K20" authorId="2" shapeId="0" xr:uid="{47671E3B-49D9-4C94-BA39-A7CBDAADB7BC}">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J35" authorId="3" shapeId="0" xr:uid="{8741AEFD-0E5B-4F4A-86DF-902E8382054C}">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K35" authorId="4" shapeId="0" xr:uid="{D85D8685-F3F0-4E56-A5F1-B7DF86399550}">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J53" authorId="5" shapeId="0" xr:uid="{D05A888E-57CE-4AA2-98B8-5FE5F385B64A}">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 ref="K53" authorId="6" shapeId="0" xr:uid="{04559E0A-1D50-40F4-A959-70C2A772D3CC}">
      <text>
        <t>[Threaded comment]
Your version of Excel allows you to read this threaded comment; however, any edits to it will get removed if the file is opened in a newer version of Excel. Learn more: https://go.microsoft.com/fwlink/?linkid=870924
Comment:
    Weighted average grant element (by original loan values)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tc={DF6A2881-7BB3-004E-A801-C17224A83363}</author>
    <author>tc={9A412146-DB97-704B-B668-BCE5796931F1}</author>
    <author>tc={E87412DF-B14D-5E40-AA18-C57959A38E22}</author>
    <author>tc={B1A4E57E-7A44-2140-BE33-F384FDB243A0}</author>
    <author>tc={E9DB6307-5E5B-4E4C-915F-52D2DE71A1DB}</author>
    <author>tc={8AEFF53A-84D1-F64B-A349-8D0479900A7E}</author>
    <author>tc={F16CD2DE-D3A4-F942-A0E4-BEAD94C89B7B}</author>
    <author>tc={19591C8F-7047-1F48-BCB0-82FD535EFBB5}</author>
    <author>tc={D3D18F18-A4A1-A648-A4CF-C3E72DA9A037}</author>
    <author>tc={4F8B66E6-594D-0C4F-AC79-223238177289}</author>
    <author>tc={D3A8B937-93CB-9B44-A092-A39A4B94D5BF}</author>
    <author>tc={6BC50A1F-CBCE-F14C-BDFD-2F4E8927FD5E}</author>
    <author>tc={BB443B1C-B78C-4D47-B9E4-E211DBFC8C98}</author>
    <author>tc={032F141B-20C9-3542-8571-0607E471B5D2}</author>
    <author>tc={D310833D-9EB9-FB40-903D-A4E2DE760416}</author>
    <author>tc={ABB991DF-23EA-E04B-9E8D-40ECC1839DF7}</author>
    <author>tc={BED3CB53-C3F0-624A-A164-9A52CD1E7D07}</author>
    <author>tc={78107A4E-D464-364D-9E21-8484DE1CF57C}</author>
    <author>tc={B88366CE-EEDB-1543-823D-E74919592AFF}</author>
    <author>tc={12C95E21-90D1-E149-85A0-E2B7ED9AFA61}</author>
    <author>tc={B10217BA-0542-DF43-9227-6983070F2F0B}</author>
    <author>tc={1F837CD6-09D0-F242-A5C9-B0A2AB8B3E4B}</author>
    <author>tc={2E4DCB5D-880B-0449-B1B1-59458E39AB8C}</author>
    <author>tc={0883B2E3-4E9B-EA4C-978C-9BCCD640C1C9}</author>
    <author>tc={4C60161E-0153-C64E-A176-4E71A0401C08}</author>
    <author>tc={EBA0D12A-C65A-CE4E-AA1D-D40F07F261BF}</author>
    <author>tc={FBA0C54B-F954-4D4B-B85B-537882840DE3}</author>
    <author>tc={A70A9828-4BA8-B342-9728-1BB324CBDA6D}</author>
    <author>tc={49D3D629-FC2F-304A-901F-A2D695AFB217}</author>
    <author>tc={E25849BE-1605-6C4B-8217-C02D9F53C407}</author>
    <author>tc={EAF14EFA-400F-5143-8FE9-D3B1E2246F4B}</author>
    <author>tc={AF4E3031-1CD5-D541-883B-E89F9E517A96}</author>
    <author>Alysha Gardner (agardner@CGDEV.ORG)</author>
    <author>tc={E9A3A91C-2937-6C44-91D9-6ED8C5BAD02E}</author>
    <author>tc={CB85032A-0C21-7240-BA72-1B71A3680C7B}</author>
    <author>tc={34DA5B0A-8E96-7F4D-AA86-8570C45A57A1}</author>
    <author>tc={E1B58D2A-9B7C-044E-BC17-D130C9CC2906}</author>
    <author>tc={04BEE3CB-68A4-D44E-95E9-48F6DE8876F1}</author>
    <author>tc={7EB020C9-4D44-EB43-9590-B2264037C975}</author>
    <author>tc={F810A8DD-9DCF-1345-8CE8-12E96C7EBEB3}</author>
    <author>tc={ED8D1E50-192D-764A-9E59-B73692E86AB6}</author>
    <author>tc={7B01BE6C-0837-A541-B874-79005B98511E}</author>
    <author>tc={B6541EFA-D318-6B4A-A092-792E7ED61E11}</author>
    <author>tc={E3A9A95B-4D23-6842-9708-4A0DEDBAB55E}</author>
    <author>tc={B4010297-6F8D-F14C-9FD6-F9B7F103E886}</author>
    <author>tc={1D55CC02-302E-184F-BED6-5AAAB13C0175}</author>
    <author>tc={A8BCF104-75C5-D148-A1B8-0E5CD657B0D4}</author>
    <author>tc={9AADA885-6AC9-E143-8F2E-A512251A0217}</author>
    <author>tc={CC322FDE-A278-D642-BEC1-832BF71BA132}</author>
    <author>tc={44A83FB4-D671-EF49-9D58-6C3A201740A2}</author>
    <author>tc={EF983DBD-9AF1-B14D-87CB-8071705C6B43}</author>
    <author>tc={922F9BB7-4EE5-E348-AA40-984D4D4AC213}</author>
    <author>tc={1A6A0F46-54E8-CD46-B964-C44BF37A61E6}</author>
    <author>tc={10B8C6D9-1DA8-EA42-8228-8FBB8CD9C0F1}</author>
  </authors>
  <commentList>
    <comment ref="D5" authorId="0" shapeId="0" xr:uid="{DF6A2881-7BB3-004E-A801-C17224A83363}">
      <text>
        <t xml:space="preserve">[Threaded comment]
Your version of Excel allows you to read this threaded comment; however, any edits to it will get removed if the file is opened in a newer version of Excel. Learn more: https://go.microsoft.com/fwlink/?linkid=870924
Comment:
    Estimate based on implementation start date of project
</t>
      </text>
    </comment>
    <comment ref="E5" authorId="1" shapeId="0" xr:uid="{9A412146-DB97-704B-B668-BCE5796931F1}">
      <text>
        <t>[Threaded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
      </text>
    </comment>
    <comment ref="G5" authorId="2" shapeId="0" xr:uid="{E87412DF-B14D-5E40-AA18-C57959A38E22}">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5" authorId="3" shapeId="0" xr:uid="{B1A4E57E-7A44-2140-BE33-F384FDB243A0}">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D6" authorId="4" shapeId="0" xr:uid="{E9DB6307-5E5B-4E4C-915F-52D2DE71A1DB}">
      <text>
        <t xml:space="preserve">[Threaded comment]
Your version of Excel allows you to read this threaded comment; however, any edits to it will get removed if the file is opened in a newer version of Excel. Learn more: https://go.microsoft.com/fwlink/?linkid=870924
Comment:
    Estimate based on implementation start date of project
</t>
      </text>
    </comment>
    <comment ref="E6" authorId="5" shapeId="0" xr:uid="{8AEFF53A-84D1-F64B-A349-8D0479900A7E}">
      <text>
        <t>[Threaded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
      </text>
    </comment>
    <comment ref="G6" authorId="6" shapeId="0" xr:uid="{F16CD2DE-D3A4-F942-A0E4-BEAD94C89B7B}">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6" authorId="7" shapeId="0" xr:uid="{19591C8F-7047-1F48-BCB0-82FD535EFBB5}">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M7" authorId="8" shapeId="0" xr:uid="{D3D18F18-A4A1-A648-A4CF-C3E72DA9A037}">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G8" authorId="9" shapeId="0" xr:uid="{4F8B66E6-594D-0C4F-AC79-223238177289}">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8" authorId="10" shapeId="0" xr:uid="{D3A8B937-93CB-9B44-A092-A39A4B94D5BF}">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G9" authorId="11" shapeId="0" xr:uid="{6BC50A1F-CBCE-F14C-BDFD-2F4E8927FD5E}">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9" authorId="12" shapeId="0" xr:uid="{BB443B1C-B78C-4D47-B9E4-E211DBFC8C98}">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G10" authorId="13" shapeId="0" xr:uid="{032F141B-20C9-3542-8571-0607E471B5D2}">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10" authorId="14" shapeId="0" xr:uid="{D310833D-9EB9-FB40-903D-A4E2DE760416}">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E11" authorId="15" shapeId="0" xr:uid="{ABB991DF-23EA-E04B-9E8D-40ECC1839DF7}">
      <text>
        <t>[Threaded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
      </text>
    </comment>
    <comment ref="G11" authorId="16" shapeId="0" xr:uid="{BED3CB53-C3F0-624A-A164-9A52CD1E7D07}">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11" authorId="17" shapeId="0" xr:uid="{78107A4E-D464-364D-9E21-8484DE1CF57C}">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G12" authorId="18" shapeId="0" xr:uid="{B88366CE-EEDB-1543-823D-E74919592AFF}">
      <text>
        <t xml:space="preserve">[Threaded comment]
Your version of Excel allows you to read this threaded comment; however, any edits to it will get removed if the file is opened in a newer version of Excel. Learn more: https://go.microsoft.com/fwlink/?linkid=870924
Comment:
    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
      </text>
    </comment>
    <comment ref="M12" authorId="19" shapeId="0" xr:uid="{12C95E21-90D1-E149-85A0-E2B7ED9AFA61}">
      <text>
        <t>[Threaded comment]
Your version of Excel allows you to read this threaded comment; however, any edits to it will get removed if the file is opened in a newer version of Excel. Learn more: https://go.microsoft.com/fwlink/?linkid=870924
Comment:
    Congo’s Ministry of Finance has reported that the maturity of the original loan was extended by 15 years. See https://www.dropbox.com/s/4jxbge4bm2q683p/N%C2%B023%20RAPPORT%20SUR%20L%27ACCORD%20COMPLEMENTAIRE%20SUR%20LA%20RESTRUCTURATION%20DE%20LA%20DETTE%20ENVERS%20LA%20CHINE%20%281%29%20N%C2%B023.pdf?dl=0</t>
      </text>
    </comment>
    <comment ref="L13" authorId="20" shapeId="0" xr:uid="{B10217BA-0542-DF43-9227-6983070F2F0B}">
      <text>
        <t>[Threaded comment]
Your version of Excel allows you to read this threaded comment; however, any edits to it will get removed if the file is opened in a newer version of Excel. Learn more: https://go.microsoft.com/fwlink/?linkid=870924
Comment:
    Total, given estimated payment schedules</t>
      </text>
    </comment>
    <comment ref="L14" authorId="21" shapeId="0" xr:uid="{1F837CD6-09D0-F242-A5C9-B0A2AB8B3E4B}">
      <text>
        <t>[Threaded comment]
Your version of Excel allows you to read this threaded comment; however, any edits to it will get removed if the file is opened in a newer version of Excel. Learn more: https://go.microsoft.com/fwlink/?linkid=870924
Comment:
    Total paid prior to April 2019, from official sources (lump sum, not assigned by project)</t>
      </text>
    </comment>
    <comment ref="M16" authorId="22" shapeId="0" xr:uid="{2E4DCB5D-880B-0449-B1B1-59458E39AB8C}">
      <text>
        <t xml:space="preserve">[Threaded comment]
Your version of Excel allows you to read this threaded comment; however, any edits to it will get removed if the file is opened in a newer version of Excel. Learn more: https://go.microsoft.com/fwlink/?linkid=870924
Comment:
    “Maturity reset at 20 years” at the time of the rescheduling, so maturity is 20 years + 13 years that have passed since the start of the original agreement
</t>
      </text>
    </comment>
    <comment ref="O16" authorId="23" shapeId="0" xr:uid="{0883B2E3-4E9B-EA4C-978C-9BCCD640C1C9}">
      <text>
        <t xml:space="preserve">[Threaded comment]
Your version of Excel allows you to read this threaded comment; however, any edits to it will get removed if the file is opened in a newer version of Excel. Learn more: https://go.microsoft.com/fwlink/?linkid=870924
Comment:
    “Grace period 3.5 additional years” </t>
      </text>
    </comment>
    <comment ref="M21" authorId="24" shapeId="0" xr:uid="{4C60161E-0153-C64E-A176-4E71A0401C08}">
      <text>
        <t>[Threaded comment]
Your version of Excel allows you to read this threaded comment; however, any edits to it will get removed if the file is opened in a newer version of Excel. Learn more: https://go.microsoft.com/fwlink/?linkid=870924
Comment:
    Extensions of maturity period gotten from the gov’t of Seychelles. Maturity after restructuring is measured between loan signing and year of final repayment after restructuring.</t>
      </text>
    </comment>
    <comment ref="O21" authorId="25" shapeId="0" xr:uid="{EBA0D12A-C65A-CE4E-AA1D-D40F07F261BF}">
      <text>
        <t xml:space="preserve">[Threaded comment]
Your version of Excel allows you to read this threaded comment; however, any edits to it will get removed if the file is opened in a newer version of Excel. Learn more: https://go.microsoft.com/fwlink/?linkid=870924
Comment:
    Grace period extension data given to us by gov’t of Seychelles. Grace period after restructuring is calculated by adding period between loan signing and restructure date, to any extensions in grace period, for loans with no repayment. </t>
      </text>
    </comment>
    <comment ref="M22" authorId="26" shapeId="0" xr:uid="{FBA0C54B-F954-4D4B-B85B-537882840DE3}">
      <text>
        <t>[Threaded comment]
Your version of Excel allows you to read this threaded comment; however, any edits to it will get removed if the file is opened in a newer version of Excel. Learn more: https://go.microsoft.com/fwlink/?linkid=870924
Comment:
    Maturity is extended by 16.5 years.</t>
      </text>
    </comment>
    <comment ref="O22" authorId="27" shapeId="0" xr:uid="{A70A9828-4BA8-B342-9728-1BB324CBDA6D}">
      <text>
        <t>[Threaded comment]
Your version of Excel allows you to read this threaded comment; however, any edits to it will get removed if the file is opened in a newer version of Excel. Learn more: https://go.microsoft.com/fwlink/?linkid=870924
Comment:
    Grace period extended by 12.5 years.</t>
      </text>
    </comment>
    <comment ref="M23" authorId="28" shapeId="0" xr:uid="{49D3D629-FC2F-304A-901F-A2D695AFB217}">
      <text>
        <t>[Threaded comment]
Your version of Excel allows you to read this threaded comment; however, any edits to it will get removed if the file is opened in a newer version of Excel. Learn more: https://go.microsoft.com/fwlink/?linkid=870924
Comment:
    Maturity extended by 22.5 years</t>
      </text>
    </comment>
    <comment ref="O23" authorId="29" shapeId="0" xr:uid="{E25849BE-1605-6C4B-8217-C02D9F53C407}">
      <text>
        <t xml:space="preserve">[Threaded comment]
Your version of Excel allows you to read this threaded comment; however, any edits to it will get removed if the file is opened in a newer version of Excel. Learn more: https://go.microsoft.com/fwlink/?linkid=870924
Comment:
    Grace period extended by 16.5 years. </t>
      </text>
    </comment>
    <comment ref="M24" authorId="30" shapeId="0" xr:uid="{EAF14EFA-400F-5143-8FE9-D3B1E2246F4B}">
      <text>
        <t>[Threaded comment]
Your version of Excel allows you to read this threaded comment; however, any edits to it will get removed if the file is opened in a newer version of Excel. Learn more: https://go.microsoft.com/fwlink/?linkid=870924
Comment:
    Maturity extended by 15 years.</t>
      </text>
    </comment>
    <comment ref="O24" authorId="31" shapeId="0" xr:uid="{AF4E3031-1CD5-D541-883B-E89F9E517A96}">
      <text>
        <t>[Threaded comment]
Your version of Excel allows you to read this threaded comment; however, any edits to it will get removed if the file is opened in a newer version of Excel. Learn more: https://go.microsoft.com/fwlink/?linkid=870924
Comment:
    Grace period extended by 11 years.</t>
      </text>
    </comment>
    <comment ref="M26" authorId="32" shapeId="0" xr:uid="{21D85E7D-1A35-6740-9F46-730ECB57665D}">
      <text>
        <r>
          <rPr>
            <b/>
            <sz val="9"/>
            <color rgb="FF000000"/>
            <rFont val="Tahoma"/>
            <family val="2"/>
          </rPr>
          <t>Alysha Gardner (agardner@CGDEV.ORG):</t>
        </r>
        <r>
          <rPr>
            <sz val="9"/>
            <color rgb="FF000000"/>
            <rFont val="Tahoma"/>
            <family val="2"/>
          </rPr>
          <t xml:space="preserve">
</t>
        </r>
        <r>
          <rPr>
            <sz val="9"/>
            <color rgb="FF000000"/>
            <rFont val="Tahoma"/>
            <family val="2"/>
          </rPr>
          <t xml:space="preserve">Data given to us from the gov't of Seychelles dates maturity period from the start of the restructure period; we date maturity from the additional years from the restructure period plus the time between the original signing of the loan and the restructure
</t>
        </r>
      </text>
    </comment>
    <comment ref="O26" authorId="32" shapeId="0" xr:uid="{4F683E7E-13C9-1445-BB69-0E6310CB6455}">
      <text>
        <r>
          <rPr>
            <b/>
            <sz val="9"/>
            <color rgb="FF000000"/>
            <rFont val="Tahoma"/>
            <family val="2"/>
          </rPr>
          <t>Alysha Gardner (agardner@CGDEV.ORG):</t>
        </r>
        <r>
          <rPr>
            <sz val="9"/>
            <color rgb="FF000000"/>
            <rFont val="Tahoma"/>
            <family val="2"/>
          </rPr>
          <t xml:space="preserve">
</t>
        </r>
        <r>
          <rPr>
            <sz val="10"/>
            <color rgb="FF000000"/>
            <rFont val="Calibri"/>
            <family val="2"/>
            <scheme val="minor"/>
          </rPr>
          <t xml:space="preserve">Grace period extension data given to us by gov't of Seychelles. Grace period is calculated by adding period between loan signing and restructure date, to any extensions in grace period,
</t>
        </r>
        <r>
          <rPr>
            <sz val="10"/>
            <color rgb="FF000000"/>
            <rFont val="Calibri"/>
            <family val="2"/>
            <scheme val="minor"/>
          </rPr>
          <t xml:space="preserve"> for loans with no repayment. For loans with repayment, the original grace period is added to any extensions in the grace period. 
</t>
        </r>
      </text>
    </comment>
    <comment ref="E27" authorId="32" shapeId="0" xr:uid="{105A0FDE-6375-4B4D-B43C-2BB7D1C8FB54}">
      <text>
        <r>
          <rPr>
            <b/>
            <sz val="9"/>
            <color rgb="FF000000"/>
            <rFont val="Tahoma"/>
            <family val="2"/>
          </rPr>
          <t>Alysha Gardner (agardner@CGDEV.ORG):</t>
        </r>
        <r>
          <rPr>
            <sz val="9"/>
            <color rgb="FF000000"/>
            <rFont val="Tahoma"/>
            <family val="2"/>
          </rPr>
          <t xml:space="preserve">
</t>
        </r>
        <r>
          <rPr>
            <sz val="9"/>
            <color rgb="FF000000"/>
            <rFont val="Tahoma"/>
            <family val="2"/>
          </rPr>
          <t xml:space="preserve">Rounded from 15.04
</t>
        </r>
      </text>
    </comment>
    <comment ref="G27" authorId="32" shapeId="0" xr:uid="{37A926F5-3A33-7448-98C0-8CB2577863AE}">
      <text>
        <r>
          <rPr>
            <b/>
            <sz val="9"/>
            <color rgb="FF000000"/>
            <rFont val="Tahoma"/>
            <family val="2"/>
          </rPr>
          <t>Alysha Gardner (agardner@CGDEV.ORG):</t>
        </r>
        <r>
          <rPr>
            <sz val="9"/>
            <color rgb="FF000000"/>
            <rFont val="Tahoma"/>
            <family val="2"/>
          </rPr>
          <t xml:space="preserve">
</t>
        </r>
        <r>
          <rPr>
            <sz val="9"/>
            <color rgb="FF000000"/>
            <rFont val="Tahoma"/>
            <family val="2"/>
          </rPr>
          <t>rounded from 6.55</t>
        </r>
      </text>
    </comment>
    <comment ref="M27" authorId="33" shapeId="0" xr:uid="{E9A3A91C-2937-6C44-91D9-6ED8C5BAD02E}">
      <text>
        <t>[Threaded comment]
Your version of Excel allows you to read this threaded comment; however, any edits to it will get removed if the file is opened in a newer version of Excel. Learn more: https://go.microsoft.com/fwlink/?linkid=870924
Comment:
    Maturity of the loan was extended by 10 years</t>
      </text>
    </comment>
    <comment ref="E28" authorId="32" shapeId="0" xr:uid="{5D5FEE31-FCB9-064B-8A60-AA59AF5B9B92}">
      <text>
        <r>
          <rPr>
            <b/>
            <sz val="9"/>
            <color indexed="81"/>
            <rFont val="Tahoma"/>
            <family val="2"/>
          </rPr>
          <t>Alysha Gardner (agardner@CGDEV.ORG):</t>
        </r>
        <r>
          <rPr>
            <sz val="9"/>
            <color indexed="81"/>
            <rFont val="Tahoma"/>
            <family val="2"/>
          </rPr>
          <t xml:space="preserve">
Rounded from 15.61
</t>
        </r>
      </text>
    </comment>
    <comment ref="G28" authorId="32" shapeId="0" xr:uid="{FDFA07DF-4878-184D-B478-C7C331E85F74}">
      <text>
        <r>
          <rPr>
            <b/>
            <sz val="9"/>
            <color rgb="FF000000"/>
            <rFont val="Tahoma"/>
            <family val="2"/>
          </rPr>
          <t>Alysha Gardner (agardner@CGDEV.ORG):</t>
        </r>
        <r>
          <rPr>
            <sz val="9"/>
            <color rgb="FF000000"/>
            <rFont val="Tahoma"/>
            <family val="2"/>
          </rPr>
          <t xml:space="preserve">
</t>
        </r>
        <r>
          <rPr>
            <sz val="9"/>
            <color rgb="FF000000"/>
            <rFont val="Tahoma"/>
            <family val="2"/>
          </rPr>
          <t>rounded from 6.41</t>
        </r>
      </text>
    </comment>
    <comment ref="M28" authorId="34" shapeId="0" xr:uid="{CB85032A-0C21-7240-BA72-1B71A3680C7B}">
      <text>
        <t xml:space="preserve">[Threaded comment]
Your version of Excel allows you to read this threaded comment; however, any edits to it will get removed if the file is opened in a newer version of Excel. Learn more: https://go.microsoft.com/fwlink/?linkid=870924
Comment:
    Maturity of the loan was extended by 16 years. </t>
      </text>
    </comment>
    <comment ref="O28" authorId="35" shapeId="0" xr:uid="{34DA5B0A-8E96-7F4D-AA86-8570C45A57A1}">
      <text>
        <t>[Threaded comment]
Your version of Excel allows you to read this threaded comment; however, any edits to it will get removed if the file is opened in a newer version of Excel. Learn more: https://go.microsoft.com/fwlink/?linkid=870924
Comment:
    Grace period of loan extended by 3 years.</t>
      </text>
    </comment>
    <comment ref="E29" authorId="32" shapeId="0" xr:uid="{92220BE5-0DB3-6F4C-A737-52A32179906F}">
      <text>
        <r>
          <rPr>
            <b/>
            <sz val="9"/>
            <color rgb="FF000000"/>
            <rFont val="Tahoma"/>
            <family val="2"/>
          </rPr>
          <t>Alysha Gardner (agardner@CGDEV.ORG):</t>
        </r>
        <r>
          <rPr>
            <sz val="9"/>
            <color rgb="FF000000"/>
            <rFont val="Tahoma"/>
            <family val="2"/>
          </rPr>
          <t xml:space="preserve">
</t>
        </r>
        <r>
          <rPr>
            <sz val="9"/>
            <color rgb="FF000000"/>
            <rFont val="Tahoma"/>
            <family val="2"/>
          </rPr>
          <t xml:space="preserve">Rounded from 14.83
</t>
        </r>
      </text>
    </comment>
    <comment ref="G29" authorId="32" shapeId="0" xr:uid="{1C5478F4-72CD-8941-8528-CEC3F552E4E5}">
      <text>
        <r>
          <rPr>
            <b/>
            <sz val="9"/>
            <color rgb="FF000000"/>
            <rFont val="Tahoma"/>
            <family val="2"/>
          </rPr>
          <t>Alysha Gardner (agardner@CGDEV.ORG):</t>
        </r>
        <r>
          <rPr>
            <sz val="9"/>
            <color rgb="FF000000"/>
            <rFont val="Tahoma"/>
            <family val="2"/>
          </rPr>
          <t xml:space="preserve">
</t>
        </r>
        <r>
          <rPr>
            <sz val="9"/>
            <color rgb="FF000000"/>
            <rFont val="Tahoma"/>
            <family val="2"/>
          </rPr>
          <t>rounded from 7.84</t>
        </r>
      </text>
    </comment>
    <comment ref="M29" authorId="36" shapeId="0" xr:uid="{E1B58D2A-9B7C-044E-BC17-D130C9CC2906}">
      <text>
        <t>[Threaded comment]
Your version of Excel allows you to read this threaded comment; however, any edits to it will get removed if the file is opened in a newer version of Excel. Learn more: https://go.microsoft.com/fwlink/?linkid=870924
Comment:
    Maturity of the loan was extended by 16 years.</t>
      </text>
    </comment>
    <comment ref="O29" authorId="37" shapeId="0" xr:uid="{04BEE3CB-68A4-D44E-95E9-48F6DE8876F1}">
      <text>
        <t>[Threaded comment]
Your version of Excel allows you to read this threaded comment; however, any edits to it will get removed if the file is opened in a newer version of Excel. Learn more: https://go.microsoft.com/fwlink/?linkid=870924
Comment:
    Grace period of loan extended by 3 years.</t>
      </text>
    </comment>
    <comment ref="G30" authorId="32" shapeId="0" xr:uid="{B1753337-BE55-1846-A9F6-BB357BD4776C}">
      <text>
        <r>
          <rPr>
            <b/>
            <sz val="9"/>
            <color rgb="FF000000"/>
            <rFont val="Tahoma"/>
            <family val="2"/>
          </rPr>
          <t>Alysha Gardner (agardner@CGDEV.ORG):</t>
        </r>
        <r>
          <rPr>
            <sz val="9"/>
            <color rgb="FF000000"/>
            <rFont val="Tahoma"/>
            <family val="2"/>
          </rPr>
          <t xml:space="preserve">
</t>
        </r>
        <r>
          <rPr>
            <sz val="9"/>
            <color rgb="FF000000"/>
            <rFont val="Tahoma"/>
            <family val="2"/>
          </rPr>
          <t xml:space="preserve">rounded from 4.71
</t>
        </r>
      </text>
    </comment>
    <comment ref="M30" authorId="38" shapeId="0" xr:uid="{7EB020C9-4D44-EB43-9590-B2264037C975}">
      <text>
        <t xml:space="preserve">[Threaded comment]
Your version of Excel allows you to read this threaded comment; however, any edits to it will get removed if the file is opened in a newer version of Excel. Learn more: https://go.microsoft.com/fwlink/?linkid=870924
Comment:
    Maturity of the loan was extended by 18 years. </t>
      </text>
    </comment>
    <comment ref="G31" authorId="32" shapeId="0" xr:uid="{887D004D-FF06-4148-83FC-060A9D50E40A}">
      <text>
        <r>
          <rPr>
            <b/>
            <sz val="9"/>
            <color rgb="FF000000"/>
            <rFont val="Tahoma"/>
            <family val="2"/>
          </rPr>
          <t>Alysha Gardner (agardner@CGDEV.ORG):</t>
        </r>
        <r>
          <rPr>
            <sz val="9"/>
            <color rgb="FF000000"/>
            <rFont val="Tahoma"/>
            <family val="2"/>
          </rPr>
          <t xml:space="preserve">
</t>
        </r>
        <r>
          <rPr>
            <sz val="9"/>
            <color rgb="FF000000"/>
            <rFont val="Tahoma"/>
            <family val="2"/>
          </rPr>
          <t>rounded from 4.71</t>
        </r>
      </text>
    </comment>
    <comment ref="M31" authorId="39" shapeId="0" xr:uid="{F810A8DD-9DCF-1345-8CE8-12E96C7EBEB3}">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E32" authorId="32" shapeId="0" xr:uid="{B2032383-D152-F746-9A66-777812B67E0C}">
      <text>
        <r>
          <rPr>
            <b/>
            <sz val="9"/>
            <color rgb="FF000000"/>
            <rFont val="Tahoma"/>
            <family val="2"/>
          </rPr>
          <t>Alysha Gardner (agardner@CGDEV.ORG):</t>
        </r>
        <r>
          <rPr>
            <sz val="9"/>
            <color rgb="FF000000"/>
            <rFont val="Tahoma"/>
            <family val="2"/>
          </rPr>
          <t xml:space="preserve">
</t>
        </r>
        <r>
          <rPr>
            <sz val="9"/>
            <color rgb="FF000000"/>
            <rFont val="Tahoma"/>
            <family val="2"/>
          </rPr>
          <t xml:space="preserve">Rounded from 7.72 years
</t>
        </r>
      </text>
    </comment>
    <comment ref="M32" authorId="40" shapeId="0" xr:uid="{ED8D1E50-192D-764A-9E59-B73692E86AB6}">
      <text>
        <t>[Threaded comment]
Your version of Excel allows you to read this threaded comment; however, any edits to it will get removed if the file is opened in a newer version of Excel. Learn more: https://go.microsoft.com/fwlink/?linkid=870924
Comment:
    Maturity of the loan was extended by 50 years.</t>
      </text>
    </comment>
    <comment ref="O32" authorId="41" shapeId="0" xr:uid="{7B01BE6C-0837-A541-B874-79005B98511E}">
      <text>
        <t>[Threaded comment]
Your version of Excel allows you to read this threaded comment; however, any edits to it will get removed if the file is opened in a newer version of Excel. Learn more: https://go.microsoft.com/fwlink/?linkid=870924
Comment:
    Grace period of loan extended by 16 years.</t>
      </text>
    </comment>
    <comment ref="M33" authorId="42" shapeId="0" xr:uid="{B6541EFA-D318-6B4A-A092-792E7ED61E11}">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O33" authorId="43" shapeId="0" xr:uid="{E3A9A95B-4D23-6842-9708-4A0DEDBAB55E}">
      <text>
        <t>[Threaded comment]
Your version of Excel allows you to read this threaded comment; however, any edits to it will get removed if the file is opened in a newer version of Excel. Learn more: https://go.microsoft.com/fwlink/?linkid=870924
Comment:
    Grace period of loan extended by 4.5 years.</t>
      </text>
    </comment>
    <comment ref="F34" authorId="44" shapeId="0" xr:uid="{B4010297-6F8D-F14C-9FD6-F9B7F103E886}">
      <text>
        <t>[Threaded comment]
Your version of Excel allows you to read this threaded comment; however, any edits to it will get removed if the file is opened in a newer version of Excel. Learn more: https://go.microsoft.com/fwlink/?linkid=870924
Comment:
    This loan consist of several loan from kuwait fund that was merge in to one loan after retructuing. No interest was charged.</t>
      </text>
    </comment>
    <comment ref="G34" authorId="32" shapeId="0" xr:uid="{6E024372-4D51-A349-AC3D-EDA83EE441FB}">
      <text>
        <r>
          <rPr>
            <b/>
            <sz val="9"/>
            <color rgb="FF000000"/>
            <rFont val="Tahoma"/>
            <family val="2"/>
          </rPr>
          <t>Alysha Gardner (agardner@CGDEV.ORG):</t>
        </r>
        <r>
          <rPr>
            <sz val="9"/>
            <color rgb="FF000000"/>
            <rFont val="Tahoma"/>
            <family val="2"/>
          </rPr>
          <t xml:space="preserve">
</t>
        </r>
        <r>
          <rPr>
            <sz val="9"/>
            <color rgb="FF000000"/>
            <rFont val="Tahoma"/>
            <family val="2"/>
          </rPr>
          <t>rounded from 1.61</t>
        </r>
      </text>
    </comment>
    <comment ref="L34" authorId="32" shapeId="0" xr:uid="{A26FCCEF-CDA5-2A4D-B0F0-80C529F64EAC}">
      <text>
        <r>
          <rPr>
            <b/>
            <sz val="9"/>
            <color rgb="FF000000"/>
            <rFont val="Tahoma"/>
            <family val="2"/>
          </rPr>
          <t>Alysha Gardner (agardner@CGDEV.ORG):</t>
        </r>
        <r>
          <rPr>
            <sz val="9"/>
            <color rgb="FF000000"/>
            <rFont val="Tahoma"/>
            <family val="2"/>
          </rPr>
          <t xml:space="preserve">
</t>
        </r>
        <r>
          <rPr>
            <sz val="9"/>
            <color rgb="FF000000"/>
            <rFont val="Tahoma"/>
            <family val="2"/>
          </rPr>
          <t xml:space="preserve">Higher amount post restructuring as a result of interest payment arrears
</t>
        </r>
      </text>
    </comment>
    <comment ref="M34" authorId="45" shapeId="0" xr:uid="{1D55CC02-302E-184F-BED6-5AAAB13C0175}">
      <text>
        <t>[Threaded comment]
Your version of Excel allows you to read this threaded comment; however, any edits to it will get removed if the file is opened in a newer version of Excel. Learn more: https://go.microsoft.com/fwlink/?linkid=870924
Comment:
    Maturity of the loan was extended by 10 years.</t>
      </text>
    </comment>
    <comment ref="M35" authorId="46" shapeId="0" xr:uid="{A8BCF104-75C5-D148-A1B8-0E5CD657B0D4}">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O35" authorId="47" shapeId="0" xr:uid="{9AADA885-6AC9-E143-8F2E-A512251A0217}">
      <text>
        <t>[Threaded comment]
Your version of Excel allows you to read this threaded comment; however, any edits to it will get removed if the file is opened in a newer version of Excel. Learn more: https://go.microsoft.com/fwlink/?linkid=870924
Comment:
    Grace period of loan extended by 5 years.</t>
      </text>
    </comment>
    <comment ref="M36" authorId="48" shapeId="0" xr:uid="{CC322FDE-A278-D642-BEC1-832BF71BA132}">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O36" authorId="49" shapeId="0" xr:uid="{44A83FB4-D671-EF49-9D58-6C3A201740A2}">
      <text>
        <t>[Threaded comment]
Your version of Excel allows you to read this threaded comment; however, any edits to it will get removed if the file is opened in a newer version of Excel. Learn more: https://go.microsoft.com/fwlink/?linkid=870924
Comment:
    Grace period of loan extended by 5 years.</t>
      </text>
    </comment>
    <comment ref="M37" authorId="50" shapeId="0" xr:uid="{EF983DBD-9AF1-B14D-87CB-8071705C6B43}">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O37" authorId="51" shapeId="0" xr:uid="{922F9BB7-4EE5-E348-AA40-984D4D4AC213}">
      <text>
        <t>[Threaded comment]
Your version of Excel allows you to read this threaded comment; however, any edits to it will get removed if the file is opened in a newer version of Excel. Learn more: https://go.microsoft.com/fwlink/?linkid=870924
Comment:
    Grace period of loan extended by 5 years.</t>
      </text>
    </comment>
    <comment ref="M38" authorId="52" shapeId="0" xr:uid="{1A6A0F46-54E8-CD46-B964-C44BF37A61E6}">
      <text>
        <t>[Threaded comment]
Your version of Excel allows you to read this threaded comment; however, any edits to it will get removed if the file is opened in a newer version of Excel. Learn more: https://go.microsoft.com/fwlink/?linkid=870924
Comment:
    Maturity of the loan was extended by 18 years.</t>
      </text>
    </comment>
    <comment ref="O38" authorId="53" shapeId="0" xr:uid="{10B8C6D9-1DA8-EA42-8228-8FBB8CD9C0F1}">
      <text>
        <t>[Threaded comment]
Your version of Excel allows you to read this threaded comment; however, any edits to it will get removed if the file is opened in a newer version of Excel. Learn more: https://go.microsoft.com/fwlink/?linkid=870924
Comment:
    Grace period of loan extended by 5 years.</t>
      </text>
    </comment>
    <comment ref="M40" authorId="32" shapeId="0" xr:uid="{58AE8E60-4A19-3541-9C50-A0F35A98791C}">
      <text>
        <r>
          <rPr>
            <b/>
            <sz val="9"/>
            <color rgb="FF000000"/>
            <rFont val="Tahoma"/>
            <family val="2"/>
          </rPr>
          <t>Alysha Gardner (agardner@CGDEV.ORG):</t>
        </r>
        <r>
          <rPr>
            <sz val="9"/>
            <color rgb="FF000000"/>
            <rFont val="Tahoma"/>
            <family val="2"/>
          </rPr>
          <t xml:space="preserve">
</t>
        </r>
        <r>
          <rPr>
            <sz val="9"/>
            <color rgb="FF000000"/>
            <rFont val="Tahoma"/>
            <family val="2"/>
          </rPr>
          <t xml:space="preserve">Data given to us from the gov't of Seychelles dates maturity period from the start of the restructure period; we date maturity from the additional years from the restructure period plus the time between the original signing of the loan and the restructure
</t>
        </r>
      </text>
    </comment>
    <comment ref="O40" authorId="32" shapeId="0" xr:uid="{E57D7805-DB21-E047-B189-A95A62AF145F}">
      <text>
        <r>
          <rPr>
            <b/>
            <sz val="9"/>
            <color rgb="FF000000"/>
            <rFont val="Tahoma"/>
            <family val="2"/>
          </rPr>
          <t>Alysha Gardner (agardner@CGDEV.ORG):</t>
        </r>
        <r>
          <rPr>
            <sz val="9"/>
            <color rgb="FF000000"/>
            <rFont val="Tahoma"/>
            <family val="2"/>
          </rPr>
          <t xml:space="preserve">
</t>
        </r>
        <r>
          <rPr>
            <sz val="9"/>
            <color rgb="FF000000"/>
            <rFont val="Tahoma"/>
            <family val="2"/>
          </rPr>
          <t xml:space="preserve">grace period is original grace period (column G) plus the addiitonal grace period from the year of restructuring)
</t>
        </r>
      </text>
    </comment>
    <comment ref="E43" authorId="32" shapeId="0" xr:uid="{6B6A4984-97D8-9442-BF05-9C8DAE8E74E8}">
      <text>
        <r>
          <rPr>
            <b/>
            <sz val="9"/>
            <color indexed="81"/>
            <rFont val="Tahoma"/>
            <family val="2"/>
          </rPr>
          <t>Alysha Gardner (agardner@CGDEV.ORG):</t>
        </r>
        <r>
          <rPr>
            <sz val="9"/>
            <color indexed="81"/>
            <rFont val="Tahoma"/>
            <family val="2"/>
          </rPr>
          <t xml:space="preserve">
Rounded from 11.56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tc={69479A2B-377D-D44C-A105-5342FD909236}</author>
  </authors>
  <commentList>
    <comment ref="C42" authorId="0" shapeId="0" xr:uid="{69479A2B-377D-D44C-A105-5342FD909236}">
      <text>
        <t xml:space="preserve">[Threaded comment]
Your version of Excel allows you to read this threaded comment; however, any edits to it will get removed if the file is opened in a newer version of Excel. Learn more: https://go.microsoft.com/fwlink/?linkid=870924
Comment:
    Despite the “grace period”, this section takes the known principal payments (3,181,650) and divides them up evenly across payment periods prior to the 2011 restructure.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tc={4255B0A8-C4BC-144E-956D-90579EC94B81}</author>
    <author>tc={30678506-8214-7E4F-9D88-D04CE3BF39E8}</author>
  </authors>
  <commentList>
    <comment ref="D69" authorId="0" shapeId="0" xr:uid="{4255B0A8-C4BC-144E-956D-90579EC94B81}">
      <text>
        <t>[Threaded comment]
Your version of Excel allows you to read this threaded comment; however, any edits to it will get removed if the file is opened in a newer version of Excel. Learn more: https://go.microsoft.com/fwlink/?linkid=870924
Comment:
    Provided by the Seychelles Government.</t>
      </text>
    </comment>
    <comment ref="D91" authorId="1" shapeId="0" xr:uid="{30678506-8214-7E4F-9D88-D04CE3BF39E8}">
      <text>
        <t>[Threaded comment]
Your version of Excel allows you to read this threaded comment; however, any edits to it will get removed if the file is opened in a newer version of Excel. Learn more: https://go.microsoft.com/fwlink/?linkid=870924
Comment:
    Provided by the Seychelles Government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tc={E42F339A-163B-DB46-8F5C-7494B595E9D5}</author>
    <author>tc={E2A11E89-D7F2-544E-92E9-CA4673FC2E11}</author>
  </authors>
  <commentList>
    <comment ref="D20" authorId="0" shapeId="0" xr:uid="{E42F339A-163B-DB46-8F5C-7494B595E9D5}">
      <text>
        <t>[Threaded comment]
Your version of Excel allows you to read this threaded comment; however, any edits to it will get removed if the file is opened in a newer version of Excel. Learn more: https://go.microsoft.com/fwlink/?linkid=870924
Comment:
    Provided by the Seychelles Government.</t>
      </text>
    </comment>
    <comment ref="D78" authorId="1" shapeId="0" xr:uid="{E2A11E89-D7F2-544E-92E9-CA4673FC2E11}">
      <text>
        <t>[Threaded comment]
Your version of Excel allows you to read this threaded comment; however, any edits to it will get removed if the file is opened in a newer version of Excel. Learn more: https://go.microsoft.com/fwlink/?linkid=870924
Comment:
    Provided by the Seychelles Government.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Alysha Gardner (agardner@CGDEV.ORG)</author>
  </authors>
  <commentList>
    <comment ref="D20" authorId="0" shapeId="0" xr:uid="{C107F44D-D31F-DA44-8EEC-E05048A6BAFA}">
      <text>
        <r>
          <rPr>
            <b/>
            <sz val="9"/>
            <color rgb="FF000000"/>
            <rFont val="Tahoma"/>
            <family val="2"/>
          </rPr>
          <t>Alysha Gardner (agardner@CGDEV.ORG):</t>
        </r>
        <r>
          <rPr>
            <sz val="9"/>
            <color rgb="FF000000"/>
            <rFont val="Tahoma"/>
            <family val="2"/>
          </rPr>
          <t xml:space="preserve">
</t>
        </r>
        <r>
          <rPr>
            <sz val="9"/>
            <color rgb="FF000000"/>
            <rFont val="Tahoma"/>
            <family val="2"/>
          </rPr>
          <t xml:space="preserve">Higher amount post restructuring as a result of interest payment arrears
</t>
        </r>
      </text>
    </comment>
  </commentList>
</comments>
</file>

<file path=xl/sharedStrings.xml><?xml version="1.0" encoding="utf-8"?>
<sst xmlns="http://schemas.openxmlformats.org/spreadsheetml/2006/main" count="2470" uniqueCount="268">
  <si>
    <t>(1) Djiri Water Treatment Plant Extension Project</t>
  </si>
  <si>
    <t>Original Loan Terms</t>
  </si>
  <si>
    <t>Original Loan (No Restructuring)</t>
  </si>
  <si>
    <t>Year of Commitment</t>
  </si>
  <si>
    <t>Value</t>
  </si>
  <si>
    <t>Interest Rate</t>
  </si>
  <si>
    <t>Total Payment</t>
  </si>
  <si>
    <t>Grace Period (years)</t>
  </si>
  <si>
    <t>NPV Total Payment</t>
  </si>
  <si>
    <t>Maturity (years)</t>
  </si>
  <si>
    <t xml:space="preserve">Payments/Year </t>
  </si>
  <si>
    <t>Total Restructured Loan</t>
  </si>
  <si>
    <t>Repayment Periods</t>
  </si>
  <si>
    <t>Face value (in RMB)</t>
  </si>
  <si>
    <t>Oustanding Balance</t>
  </si>
  <si>
    <t>Discount Rate</t>
  </si>
  <si>
    <t>Restructured Loan Terms</t>
  </si>
  <si>
    <t>Year of Restructuring</t>
  </si>
  <si>
    <t>Oustanding Balance at Restructuring (RMB)</t>
  </si>
  <si>
    <t>Last Payment Prior to Restructuring</t>
  </si>
  <si>
    <t>Final Accelerated Payment Under Restructured Loan</t>
  </si>
  <si>
    <t>Final Payment Under Original Loan</t>
  </si>
  <si>
    <t>Final Payment Under Restructured Loan</t>
  </si>
  <si>
    <t>Date</t>
  </si>
  <si>
    <t>Repayment Period</t>
  </si>
  <si>
    <t>Grace Period</t>
  </si>
  <si>
    <t>Discount Factor</t>
  </si>
  <si>
    <t>ORIGINAL LOAN</t>
  </si>
  <si>
    <t>Debt Service Payment</t>
  </si>
  <si>
    <t>Principal</t>
  </si>
  <si>
    <t>Interest</t>
  </si>
  <si>
    <t>Outstanding Balance</t>
  </si>
  <si>
    <t>NPV Debt Service Payment</t>
  </si>
  <si>
    <t>RESTRUCTURED LOAN</t>
  </si>
  <si>
    <t>Stage 1: Pre-Restructure</t>
  </si>
  <si>
    <t>Stage 2: Accelerated Repayment</t>
  </si>
  <si>
    <t>Stage 3: Final Repayment</t>
  </si>
  <si>
    <t>Repayment Period (Original Loan)</t>
  </si>
  <si>
    <t>Discount Period</t>
  </si>
  <si>
    <t>Stage 2: Restructured Payments</t>
  </si>
  <si>
    <t>First Payment Under Restructuring</t>
  </si>
  <si>
    <t>(1) East Coast Housing Phase II</t>
  </si>
  <si>
    <t>Remaining Reapyment Periods after Accelerated Stage</t>
  </si>
  <si>
    <t>Roadmap Markers</t>
  </si>
  <si>
    <t>Original</t>
  </si>
  <si>
    <t>Restructured</t>
  </si>
  <si>
    <t>Loan 1</t>
  </si>
  <si>
    <t>Loan 2</t>
  </si>
  <si>
    <t>Loan 3</t>
  </si>
  <si>
    <t>Loan 4</t>
  </si>
  <si>
    <t>Loan 5</t>
  </si>
  <si>
    <t>Loan 6</t>
  </si>
  <si>
    <t>Loan 7</t>
  </si>
  <si>
    <t>Loan 8</t>
  </si>
  <si>
    <t>Total</t>
  </si>
  <si>
    <t>Republic of the Congo</t>
  </si>
  <si>
    <t xml:space="preserve">China Eximbank Loans Subject to the April 2019 Debt Restructuring Agreement </t>
  </si>
  <si>
    <t>Project Name</t>
  </si>
  <si>
    <t>Face Value of Loan</t>
  </si>
  <si>
    <t>Year of Loan Commitment</t>
  </si>
  <si>
    <t>Maturity After Restructuring (years)</t>
  </si>
  <si>
    <t>Interest Rate After Restructuring</t>
  </si>
  <si>
    <t>Grace Period After Restructuring</t>
  </si>
  <si>
    <t>(2) Djiri Water Treatment Distribution Network Project</t>
  </si>
  <si>
    <t>(3) Phase 2 of National Route 1 (RN1)  Project (375 km Dolisie-Brazzaville Section)</t>
  </si>
  <si>
    <t>(4) Liouesso Hydroelectric Dam Project</t>
  </si>
  <si>
    <t>(5) Brazzaville Shopping Center Project</t>
  </si>
  <si>
    <t>(6) Mpila Social Housing Project -- 264 Units</t>
  </si>
  <si>
    <t xml:space="preserve">(7) Mpila Commercial Area (Twin Towers) Project </t>
  </si>
  <si>
    <t>(8) Mpila Memorial Project</t>
  </si>
  <si>
    <t>Outstanding Balances</t>
  </si>
  <si>
    <t>Total lending</t>
  </si>
  <si>
    <t>Total outstanding</t>
  </si>
  <si>
    <t>Paid prior to restructuring</t>
  </si>
  <si>
    <t>Official outstanding balance</t>
  </si>
  <si>
    <t>Percent difference</t>
  </si>
  <si>
    <t>Commitment Year</t>
  </si>
  <si>
    <t>Maturity</t>
  </si>
  <si>
    <t>-</t>
  </si>
  <si>
    <t>Face value</t>
  </si>
  <si>
    <t>2019 Outstanding Balance</t>
  </si>
  <si>
    <t>Data</t>
  </si>
  <si>
    <t>Seychelles</t>
  </si>
  <si>
    <t>2010-2014</t>
  </si>
  <si>
    <t>2013-2018</t>
  </si>
  <si>
    <t>Estimated Last Payment Before Restructure</t>
  </si>
  <si>
    <t>2011-2015</t>
  </si>
  <si>
    <t>2014-2018</t>
  </si>
  <si>
    <t>2013-2017</t>
  </si>
  <si>
    <t>Year of Restructure</t>
  </si>
  <si>
    <t>Net Change</t>
  </si>
  <si>
    <t xml:space="preserve">Original </t>
  </si>
  <si>
    <t>Energy Transport Network Associated with the Hydroelectric Power Station of Imboulou Project.</t>
  </si>
  <si>
    <t>First Grace Period</t>
  </si>
  <si>
    <t>2005 through 2010</t>
  </si>
  <si>
    <t>Last Payment Before Restructure</t>
  </si>
  <si>
    <t>Beginning of Second Grace Period Under Restructure</t>
  </si>
  <si>
    <t>Second Grace Period begins</t>
  </si>
  <si>
    <t>Second Grace Periods Ends</t>
  </si>
  <si>
    <t>CMEC Loan</t>
  </si>
  <si>
    <t>(2) Les Mamelles Housing Development</t>
  </si>
  <si>
    <t>(3) Additional - Les Mamelles Housing Project</t>
  </si>
  <si>
    <t>1997 through 2005</t>
  </si>
  <si>
    <t>"Grace Period"</t>
  </si>
  <si>
    <t>1998 through 2002</t>
  </si>
  <si>
    <t>2005 through 2009</t>
  </si>
  <si>
    <t>Net Present Value (NPV) of Repayment</t>
  </si>
  <si>
    <t>Face Value of Repayment (non-discounted)</t>
  </si>
  <si>
    <t>Original Loan (in USD)</t>
  </si>
  <si>
    <t>Grant Element</t>
  </si>
  <si>
    <t>https://ida.worldbank.org/sites/default/files/pdfs/grant_element_calculation_formula_2013.pdf</t>
  </si>
  <si>
    <t>GE Calculator (World Bank):</t>
  </si>
  <si>
    <t xml:space="preserve"> 2019 Restructuring of 8 China Eximbank Loans to Republic of Congo </t>
  </si>
  <si>
    <t>China Machinery Engineering Corporation (CMEC) Loan Subject to April 2018 Restructuring Agreement</t>
  </si>
  <si>
    <t>China Eximbank Loans Subject to April 2011 Restructuring Agreement</t>
  </si>
  <si>
    <t>(in USD)</t>
  </si>
  <si>
    <t>Energy Transport Network Associated with the Hydroelectric Power Station of Imboulou Project</t>
  </si>
  <si>
    <t>2018 Restructuring of China Machinery Engineering Corporation (CMEC) loan to Republic of Congo</t>
  </si>
  <si>
    <t>Currency</t>
  </si>
  <si>
    <t>USD</t>
  </si>
  <si>
    <t>RMB</t>
  </si>
  <si>
    <t>Restructured Loans from Other Bilateral Lenders</t>
  </si>
  <si>
    <t>(UAE 1) Abu Dhabi Government Balance of Payment Support Restructuring 2012</t>
  </si>
  <si>
    <t>(UAE 2) Abu Dhabi Fund for Development Integrated Health 2011 Restructuring</t>
  </si>
  <si>
    <t>AED</t>
  </si>
  <si>
    <t>(UAE 3) Abu Dhabi Fund for Development East Coast Phase III 2011 Restructuring</t>
  </si>
  <si>
    <t>(France 1) Banque de France Paris Club Restructuring 2009 Acc No.1 ODA</t>
  </si>
  <si>
    <t>EUR</t>
  </si>
  <si>
    <t>(France 2) Banque de France Paris Club Restructuring 2009 Acc No.2 ODA</t>
  </si>
  <si>
    <t>(Germany 1) Govt of Germany 2011 Restructuring</t>
  </si>
  <si>
    <t>(Japan 1) Japanese Government SMB Prawn Project Restructuring</t>
  </si>
  <si>
    <t>JPY</t>
  </si>
  <si>
    <t>(Kuwait 1) Kuwait Fund for Arab Economic Development Special Financial Arrangement 2010</t>
  </si>
  <si>
    <t>KWD</t>
  </si>
  <si>
    <t>(UK 1) UK L249002 Restructuring 2009</t>
  </si>
  <si>
    <t>GBP</t>
  </si>
  <si>
    <t>(UK 2) UK L249003 Restructuring 2009</t>
  </si>
  <si>
    <t>(UK 3) UK Loan 1977 Restructured 2009</t>
  </si>
  <si>
    <t>(UK 4) UK Loan 1981 Restructured 2009</t>
  </si>
  <si>
    <t>Restructured Loans from Other Bilateral Lenders (Not Enough Data for Analysis)</t>
  </si>
  <si>
    <t>Belgium PC Restructuring 2</t>
  </si>
  <si>
    <t>Exim Bank of Malaysia Restructured 2nd Reduction 2010</t>
  </si>
  <si>
    <t>SACE (Italian Export Credit Agency) SPTC Restructured Loan</t>
  </si>
  <si>
    <t>Spain ICO-SMB Fish Div 2009 Restructuring</t>
  </si>
  <si>
    <t>Spain CESCE Restructuring Agreement 2009</t>
  </si>
  <si>
    <t>six month euribor</t>
  </si>
  <si>
    <t>ECGD (UK Export Finance) PC - UK/Seychelles Agreement 2009</t>
  </si>
  <si>
    <t>Face value (in USD)</t>
  </si>
  <si>
    <t>(1) Abu Dhabi Government Balance of Payment Support Restructuring 2012</t>
  </si>
  <si>
    <t>Final Payment Under Restructuring</t>
  </si>
  <si>
    <t>Note: No repayments made prior to restructuring</t>
  </si>
  <si>
    <t>(2) Abu Dhabi Fund for Development Integrated Health 2011 Restructuring</t>
  </si>
  <si>
    <t>Face value (in AED)</t>
  </si>
  <si>
    <t>Oustanding Balance at Restructuring (in AED)</t>
  </si>
  <si>
    <t>(3) Abu Dhabi Fund for Development East Coast Phase III 2011 Restructuring</t>
  </si>
  <si>
    <t>(1) Banque De France, Paris Club restructuring 2009 - Acc No.1 - ODA</t>
  </si>
  <si>
    <t>Face value (in EUR)</t>
  </si>
  <si>
    <t>Oustanding Balance at Restructuring (in EUR)</t>
  </si>
  <si>
    <t>(1) Germany 2011 Restructuring</t>
  </si>
  <si>
    <t>(1) Japanese Government SMB Prawn Project Restructuring</t>
  </si>
  <si>
    <t>Face value (in JPY)</t>
  </si>
  <si>
    <t>(1) Kuwait Fund for Arab Economic Development Special Financial Arrangement 2010</t>
  </si>
  <si>
    <t>Face value (in KWD)</t>
  </si>
  <si>
    <t>(1) UK L249002 Restructuring 2009</t>
  </si>
  <si>
    <t>Face value (in GBP)</t>
  </si>
  <si>
    <t>Oustanding Balance at Restructuring (in GBP)</t>
  </si>
  <si>
    <t>(2) UK L249003 Restructuring 2009</t>
  </si>
  <si>
    <t>Payments made prior to restructuring</t>
  </si>
  <si>
    <t>Original Loan</t>
  </si>
  <si>
    <t>Stage 1: Pre-restructure</t>
  </si>
  <si>
    <t>Repayment prior to restructuring (in EUR)</t>
  </si>
  <si>
    <t>Repayment prior to restructuring (in AED)</t>
  </si>
  <si>
    <t>(3) UK Loan 1977 Restructuring 2009</t>
  </si>
  <si>
    <t>(4) UK Loan 1981 Restructuring 2009</t>
  </si>
  <si>
    <t xml:space="preserve">Exchange Rate </t>
  </si>
  <si>
    <t>Formula</t>
  </si>
  <si>
    <t xml:space="preserve">Restructured </t>
  </si>
  <si>
    <t>a=(r/n)/d</t>
  </si>
  <si>
    <t>b=(1/(1+d)^(n*g)</t>
  </si>
  <si>
    <t>c=(1/(1+d)^(n*m)</t>
  </si>
  <si>
    <t>d=(1+D)^(1/n)-1</t>
  </si>
  <si>
    <t>e=d*(n*m-n*g)</t>
  </si>
  <si>
    <t>(1-a)*(1-((b-c)/e))</t>
  </si>
  <si>
    <t>(2) Banque De France, Paris Club restructuring 2009 - Acc No.2 - ODA</t>
  </si>
  <si>
    <t>NA</t>
  </si>
  <si>
    <t>Principal arrears and accrued interest write-off</t>
  </si>
  <si>
    <t xml:space="preserve">Restructuring of Other Creditors' loans to Seychelles </t>
  </si>
  <si>
    <t>Discount Factor for Grant Element</t>
  </si>
  <si>
    <t>Organization of Spreadsheet</t>
  </si>
  <si>
    <t>Terms and Equations Used in the Analysis</t>
  </si>
  <si>
    <t>Grant Element Equation</t>
  </si>
  <si>
    <t>Discount Factor Equation</t>
  </si>
  <si>
    <t>Face Value</t>
  </si>
  <si>
    <t>Total Repayment</t>
  </si>
  <si>
    <t>Total NPV Repayment</t>
  </si>
  <si>
    <t>Haircut</t>
  </si>
  <si>
    <t xml:space="preserve">The original value of the loan at the time the agreement was signed. </t>
  </si>
  <si>
    <t>The remaining principal needing to be repaid at the time of the restructuring agreement.</t>
  </si>
  <si>
    <t>The difference between the total NPV repayment under the original loan terms and the total NPV repayment under the restructured loan terms.</t>
  </si>
  <si>
    <t>https://ida.worldbank.org/sites/default/files/pdfs/grant_element_calculation_formula_2013.pdf.</t>
  </si>
  <si>
    <t xml:space="preserve">Use the "equal principal repayment" option, assuming a traditional discount rate of 5% and 2 repayments per year. </t>
  </si>
  <si>
    <t>Original Loan Terms - TAKEN FROM DATA TAB</t>
  </si>
  <si>
    <t>Restructured Loan Terms - TAKEN FROM DATA TAB</t>
  </si>
  <si>
    <t>Discount Factor for Grant Element (d)</t>
  </si>
  <si>
    <t>Example Haircut Analysis Page (Does not reflect an actual loan)</t>
  </si>
  <si>
    <t>% Change</t>
  </si>
  <si>
    <t>Dec 2000 through June 2007</t>
  </si>
  <si>
    <t>Year of Restructure/ First Payment Under Restructuring</t>
  </si>
  <si>
    <t>Dec 2007 through 2010</t>
  </si>
  <si>
    <t>Final Payment of Restructuring</t>
  </si>
  <si>
    <t>June 1990 through 1996</t>
  </si>
  <si>
    <t>Year of Restructure / Final Payment Under Original Loan</t>
  </si>
  <si>
    <t>Dec 2003 through June 2005</t>
  </si>
  <si>
    <t>Final Payment Under Original Loan / Year of Restructure</t>
  </si>
  <si>
    <t>June 1990 through 1998</t>
  </si>
  <si>
    <t>December 1992 through 1997</t>
  </si>
  <si>
    <t>Dec 1976 through 1981</t>
  </si>
  <si>
    <t>Dec 1981 through 1989</t>
  </si>
  <si>
    <t>December 1995 through June 2002</t>
  </si>
  <si>
    <t>Outstanding Balance at Restructuring</t>
  </si>
  <si>
    <t>June 2009 through Dec 2013</t>
  </si>
  <si>
    <t>https://www.oecd.org/trade/topics/export-credits/arrangement-and-sector-understandings/financing-terms-and-conditions/</t>
  </si>
  <si>
    <t>The rate at which a creditor "discounts" payments received in the future compared to payments received today.  The act of receiving the money in the future makes the payment less valuable to the creditor. In our analysis, we use the OECD's Historical CIRR (Commercial Interest Reference Rate) in the currency of the loan (or USD if currency not available in database) in January of the year of the original loan agreement. See:</t>
  </si>
  <si>
    <t xml:space="preserve">Discount Factor = 1 / ((1+(r/t))^p)
Where r = discount rate; t = number of repayments per year; p = period number since agreement signing date.
For example, with a discount rate of 5% at 2 repayments per year, loan payments in the first half of the 10th year would be discounted to 61% of their present value, or 61% their value in the year of the loan agreement. 
Payments are multiplied by the discount factor to determine the NPV payment.
For the grant element calculations, instead of using a varying discount factor, we rely on the World Bank/IMF standard of a 5% discount rate, with a base discount factor of 2.47% (also the equivalent of "d" in the equation given below). </t>
  </si>
  <si>
    <t>UAE Loan 1 (USD)</t>
  </si>
  <si>
    <t>UAE Loan 2 (AED)</t>
  </si>
  <si>
    <t>UAE Loan 3 (AED)</t>
  </si>
  <si>
    <t>FRA Loan 1 (EUR)</t>
  </si>
  <si>
    <t>FRA Loan 2 (EUR)</t>
  </si>
  <si>
    <t>DEU Loan (EUR)</t>
  </si>
  <si>
    <t>JPN Loan (JPY)</t>
  </si>
  <si>
    <t>KWD Loan (KWD)</t>
  </si>
  <si>
    <t>UK Loan 1 (GBP)</t>
  </si>
  <si>
    <t>UK Loan 2 (GBP)</t>
  </si>
  <si>
    <t>UK Loan 3 (GBP)</t>
  </si>
  <si>
    <t>UK Loan 4 (GBP)</t>
  </si>
  <si>
    <t>Loan 1 (RMB)</t>
  </si>
  <si>
    <t>Loan 2 (RMB)</t>
  </si>
  <si>
    <t>Loan 3 (RMB)</t>
  </si>
  <si>
    <t>For simplicity, all dates are rounded to the nearest 6-month interval of December 31st or June 30th. For example, a loan agreement that begins in Feburary 1998 would begin on 12/31/1997.</t>
  </si>
  <si>
    <t>2011 Restructuring of 3 China Eximbank loans to Seychelles (RMB)</t>
  </si>
  <si>
    <t xml:space="preserve">Loan 2 </t>
  </si>
  <si>
    <t>2011 Restructuring of 3 China Eximbank loans to Seychelles (USD)</t>
  </si>
  <si>
    <t>Restructuring of Other Creditors' loans to Seychelles (USD)</t>
  </si>
  <si>
    <r>
      <t xml:space="preserve">A measure of concessionality used by international finance institutions, such as the World Bank and the IMF, that measures how generous or "grant-like" a loan is. The grant element equation takes into account a loan's grace period, maturity, and interest rates to assess the concessionality of the loan, or what percent of the loan's value could be considered a grant. A higher percentage is a more generous loan; the World Bank and IMF use 35% as the grant element cutoff to measure whether a loan should count as "concessional." 
For the majority of Seychelles loans, no payments were made prior to the restructure. In these situations, we simply consider the entire period between the start of the loan and the time they begin repaying the loan as one long grace period, and the maturity of the loan is from the agreement start date and the final payment of the restructured loan. In these situations with no repayments, the oustanding loan at the time of restructure may be equal to, greater than, or less than the face value of the loan, depending on interest rate arrears and write-offs. No changes are made to the grant element equation if the face value and the outstanding loan are equal. If the oustanding loan is different than the face value of the loan, the grant element equation given below is modified to include additional writeoffs as grants (or outstanding arrears as reductions in the "grant element.") The modification is given by
</t>
    </r>
    <r>
      <rPr>
        <i/>
        <sz val="12"/>
        <color theme="1"/>
        <rFont val="Calibri"/>
        <family val="2"/>
        <scheme val="minor"/>
      </rPr>
      <t xml:space="preserve">Grant Element + ((Face Value of Loan - Outstanding Value of Loan)/Face Value of Loan)
</t>
    </r>
    <r>
      <rPr>
        <sz val="12"/>
        <color theme="1"/>
        <rFont val="Calibri"/>
        <family val="2"/>
        <scheme val="minor"/>
      </rPr>
      <t xml:space="preserve">
There are a handful of Seychelles loans with payments prior to restructuring. In these situations, the grace period is given by the initial grace period, and is not extended through the restructuring period. The maturity is still measured by the beginning of the loan agreement through the final payment under restructuring. The grant element is modified directly by the full amount of any write-offs under the restructure as stand alone "grants", without needing to measure in relation to current oustanding loan. This modification is given by
</t>
    </r>
    <r>
      <rPr>
        <i/>
        <sz val="12"/>
        <color theme="1"/>
        <rFont val="Calibri"/>
        <family val="2"/>
        <scheme val="minor"/>
      </rPr>
      <t>Grant Element + (Total Writeoffs/Face Value of the Loan)</t>
    </r>
    <r>
      <rPr>
        <sz val="12"/>
        <color theme="1"/>
        <rFont val="Calibri"/>
        <family val="2"/>
        <scheme val="minor"/>
      </rPr>
      <t xml:space="preserve">
Loans to the Republic of Congo were paid prior to restructuring along a strict repayment schedule, and there are no instances of write-offs in our dataset. For these loans, there is no necessary modification to the grant element.</t>
    </r>
  </si>
  <si>
    <t>Total (blank due to differing currencies)</t>
  </si>
  <si>
    <r>
      <rPr>
        <i/>
        <sz val="12"/>
        <color theme="1"/>
        <rFont val="Calibri"/>
        <family val="2"/>
        <scheme val="minor"/>
      </rPr>
      <t>The ROC Loans #1 through #8</t>
    </r>
    <r>
      <rPr>
        <sz val="12"/>
        <color theme="1"/>
        <rFont val="Calibri"/>
        <family val="2"/>
        <scheme val="minor"/>
      </rPr>
      <t xml:space="preserve"> tabs contain our analysis of expected repayments under the original loan terms and the restructured loan terms for the eight loans between the Republic of the Congo (ROC) and China Eximbank, which were restructured in 2019.</t>
    </r>
  </si>
  <si>
    <r>
      <rPr>
        <i/>
        <sz val="12"/>
        <color theme="1"/>
        <rFont val="Calibri"/>
        <family val="2"/>
        <scheme val="minor"/>
      </rPr>
      <t>The ROC CMEC 2018 Loan</t>
    </r>
    <r>
      <rPr>
        <sz val="12"/>
        <color theme="1"/>
        <rFont val="Calibri"/>
        <family val="2"/>
        <scheme val="minor"/>
      </rPr>
      <t xml:space="preserve"> tab contains our analysis of expected repayments under the original loan terms and the restructured loan terms for the single loan between the Republic of the Congo (ROC) and the China Machinery Engineering Corporation (CMEC), which was restructured in 2018.</t>
    </r>
  </si>
  <si>
    <r>
      <rPr>
        <i/>
        <sz val="12"/>
        <color theme="1"/>
        <rFont val="Calibri"/>
        <family val="2"/>
        <scheme val="minor"/>
      </rPr>
      <t>Seychelles Loans #1 through #3</t>
    </r>
    <r>
      <rPr>
        <sz val="12"/>
        <color theme="1"/>
        <rFont val="Calibri"/>
        <family val="2"/>
        <scheme val="minor"/>
      </rPr>
      <t xml:space="preserve"> tabs contain our analysis of expected repayments under the original loan terms and the restructured loan terms for the three loans between the Republic of Seychelles and China Eximbank, which were restructured in 2011.</t>
    </r>
  </si>
  <si>
    <t>What the borrower will pay (without discounting) in principal and interest payments (combine) by the end of the loan repayment period.</t>
  </si>
  <si>
    <t>Total net present value (NPV) repayment; what the borrower will pay, allowing for discounting by year, in principal and interest payments (combined) by the end of the loan repayment period. Total NPV repayment is always less than total repayment, due to discounting.</t>
  </si>
  <si>
    <r>
      <t xml:space="preserve">The summary information at the top of each loan analysis page contains five tables: one displaying the original loan terms and selected discount rate; one displaying the restructured loan terms, oustanding balance at restructuring, and the discount factor used in the grant element calculation; one displaying total expected payments and total expected NPV payments under the original loan; one displaying total expected payments and total expected NPV payments under the restructured loan; and one table comparing the grant element of the original loan to the grant element of the restructured loan.
The summary information at the top of each loan analysis page also displays important information used in the construction of the amortization tables. The first row, "roadmap markers," highlights important points over the lifetime of the loan: the intial grace period, the final payment date under the original loan, the final payment under the restructured loan, the final payment prior to restructuring, the first payment under restructuring, etc. Each loan has a different timeline, so the markers included and their dates will be different for each loan.
The other three rows include a "date" row, spaced periodically at six month intervals (one simplifying assumption we made was to have all repayments spaced out on December 31st and June 30th); the discount period, or the </t>
    </r>
    <r>
      <rPr>
        <i/>
        <sz val="14"/>
        <color theme="1"/>
        <rFont val="Calibri"/>
        <family val="2"/>
        <scheme val="minor"/>
      </rPr>
      <t>n</t>
    </r>
    <r>
      <rPr>
        <sz val="14"/>
        <color theme="1"/>
        <rFont val="Calibri"/>
        <family val="2"/>
        <scheme val="minor"/>
      </rPr>
      <t>th six-month period since the agreement start date; and the discount factor, or the amount that each payment in the time period will be discounted by for NPV payments, calculated according to the discount factor equation given above.</t>
    </r>
  </si>
  <si>
    <t>The amortization tables below are organized into the original loan tables and the restructured loan tables. 
The original loan tables look at how the original loan should have been repaid if the borrowing country followed the original agreement without deviation and if no restructuring were to take place. This loan is organized into debt service payments (organized by aggregate, principal, and interest); the oustanding balance (which decreases as principal payments are made); and the NPV debt service payments (which is the debt service payment multiplied by the discount factor above, also organized into aggregate, principal, and interest payments).
The restructured loan tables look at how the loan had actually been repaid prior to the restructuring, and how we expect it to be repaid after the restructuring. The reader will likely need to scroll to the right (further along the timeline) before they can see any values in these categories. Like the original payment, the restructured loan is grouped into debt service payments, oustanding balances, and the NPV debt service payments. Under the Seychelles loans, we use the simplifying assumption that no payments were made prior to the restructuring (see the 'Bargaining With Beijing' policy note for an in-depth discussion of the circumstances surrounding these loans). Under the Republic of Congo loans, repayments under the original loan and the restructured loan are identical prior to restructuring. Also, under the Republic of Congo loans, a special accelerated repayment period was negotiated as part of the restructuring where one-third of the oustanding principal was required to be repaid within three years of the restructuring date. For this reason, all Republic of Congo restructured amortization tables are broken down into three categories: pre-restructuring payments; acclerated post-restructuring payments; and final post-restructuring payments.</t>
  </si>
  <si>
    <t>Each tab of this spreadsheet file is color-coded to organize the information that is presented.</t>
  </si>
  <si>
    <t>This "Read Me" tab describes the methods and assumptions used in the "Bargaining with Beijing: A Tale of Two Borrowers" Policy Note.</t>
  </si>
  <si>
    <r>
      <rPr>
        <i/>
        <sz val="12"/>
        <color theme="1"/>
        <rFont val="Calibri"/>
        <family val="2"/>
        <scheme val="minor"/>
      </rPr>
      <t>Seychelles Loans UAE through GBR</t>
    </r>
    <r>
      <rPr>
        <sz val="12"/>
        <color theme="1"/>
        <rFont val="Calibri"/>
        <family val="2"/>
        <scheme val="minor"/>
      </rPr>
      <t xml:space="preserve"> tabs contain our analysis of expected repayments under the original loan terms and restructured loan terms for eleven loans between Seychelles and non-Chinese bilateral lenders.</t>
    </r>
  </si>
  <si>
    <t>Each analysis page is grouped into two sections: summary information at the top of the spreadsheet tab and the amortization tables at the bottom of the spreadsheet tab.</t>
  </si>
  <si>
    <t>Oustanding Balance, including principal arrears and accrued interest before restructuring</t>
  </si>
  <si>
    <t>Outstanding Balance at Restructuring (RMB)</t>
  </si>
  <si>
    <t xml:space="preserve">Face value </t>
  </si>
  <si>
    <t xml:space="preserve">Outstanding Balance at Restructuring </t>
  </si>
  <si>
    <t xml:space="preserve">Oustanding Balance at Restructuring </t>
  </si>
  <si>
    <t>Outstanding Balance at Restructuring (in USD)</t>
  </si>
  <si>
    <t>Outstanding Balance at Restructuring (in EUR)</t>
  </si>
  <si>
    <t>Outstanding Balance at Restructuring (in JPY)</t>
  </si>
  <si>
    <t>Outstanding Balance at Restructuring (in GBP)</t>
  </si>
  <si>
    <r>
      <t xml:space="preserve">The </t>
    </r>
    <r>
      <rPr>
        <i/>
        <sz val="12"/>
        <color theme="1"/>
        <rFont val="Calibri"/>
        <family val="2"/>
        <scheme val="minor"/>
      </rPr>
      <t>Results</t>
    </r>
    <r>
      <rPr>
        <sz val="12"/>
        <color theme="1"/>
        <rFont val="Calibri"/>
        <family val="2"/>
        <scheme val="minor"/>
      </rPr>
      <t xml:space="preserve"> tab identifies the final haircut and grant element change for each loan, first in its original currency and then converted to USD.
The </t>
    </r>
    <r>
      <rPr>
        <i/>
        <sz val="12"/>
        <color theme="1"/>
        <rFont val="Calibri"/>
        <family val="2"/>
        <scheme val="minor"/>
      </rPr>
      <t>Data</t>
    </r>
    <r>
      <rPr>
        <sz val="12"/>
        <color theme="1"/>
        <rFont val="Calibri"/>
        <family val="2"/>
        <scheme val="minor"/>
      </rPr>
      <t xml:space="preserve"> tab provides detailed information (signature dates, face values, outstanding values, interest rates, maturity lengths, and grace periods) for both the original and restructured loans. The subsequent tabs all draw on values in the Data tab for the amortization calculations. 
The</t>
    </r>
    <r>
      <rPr>
        <i/>
        <sz val="12"/>
        <color theme="1"/>
        <rFont val="Calibri"/>
        <family val="2"/>
        <scheme val="minor"/>
      </rPr>
      <t xml:space="preserve"> ROC - Outstanding Balances</t>
    </r>
    <r>
      <rPr>
        <sz val="12"/>
        <color theme="1"/>
        <rFont val="Calibri"/>
        <family val="2"/>
        <scheme val="minor"/>
      </rPr>
      <t xml:space="preserve"> tab provides our calculations of existing outstanding balances for the 8 China Eximbank loans to the Republic of Congo (ROC) that were restructured in 2019. The ROC has published an aggregate outstanding balance figure for all eight loans. By constructing amortization tables that assume the ROC followed its original repayment schedules for these 8 loans, we are able to estimate the outstanding balance for each loan. The aggregated results from our model are within 5% of the aggregated oustanding balance reported the ROC itself; therefore, we assume that the individual outstanding balances generated by our model are sufficiently accurate to use in further analysis of repayments during the post-restructuring period. The fact that the aggregate value of the 8 estimated outstanding loan balances is roughly equivalent to the aggregate oustanding balance reported the ROC indicates that the ROC followed its repayment schedules rather closely prior to the 2019 restructuring. </t>
    </r>
  </si>
  <si>
    <t>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</si>
</sst>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00_);_(&quot;₹&quot;* \(#,##0.00\);_(&quot;₹&quot;* &quot;-&quot;??_);_(@_)"/>
    <numFmt numFmtId="165" formatCode="0.0%"/>
    <numFmt numFmtId="166" formatCode="[$¥-804]#,##0;[$¥-804]\-#,##0"/>
    <numFmt numFmtId="167" formatCode="_(&quot;$&quot;* #,##0_);_(&quot;$&quot;* \(#,##0\);_(&quot;$&quot;* &quot;-&quot;??_);_(@_)"/>
    <numFmt numFmtId="168" formatCode="0.0%;[Red]\-0.00%"/>
    <numFmt numFmtId="169" formatCode="_(&quot;$&quot;* #,##0.0000_);_(&quot;$&quot;* \(#,##0.0000\);_(&quot;$&quot;* &quot;-&quot;????_);_(@_)"/>
    <numFmt numFmtId="170" formatCode="#,##0_ ;\-#,##0\ "/>
    <numFmt numFmtId="171" formatCode="0.000000000"/>
    <numFmt numFmtId="172" formatCode="#,##0.00_ ;\-#,##0.00\ "/>
    <numFmt numFmtId="173" formatCode="0%;[Red]\-0.0%"/>
  </numFmts>
  <fonts count="35">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6"/>
      <color theme="1"/>
      <name val="Calibri"/>
      <family val="2"/>
      <scheme val="minor"/>
    </font>
    <font>
      <sz val="12"/>
      <color rgb="FF000000"/>
      <name val="Calibri"/>
      <family val="2"/>
    </font>
    <font>
      <sz val="12"/>
      <name val="Calibri"/>
      <family val="2"/>
      <scheme val="minor"/>
    </font>
    <font>
      <sz val="11"/>
      <name val="Calibri"/>
      <family val="2"/>
      <scheme val="minor"/>
    </font>
    <font>
      <b/>
      <i/>
      <sz val="16"/>
      <color theme="1"/>
      <name val="Calibri (Body)"/>
    </font>
    <font>
      <b/>
      <sz val="11"/>
      <name val="Calibri"/>
      <family val="2"/>
      <scheme val="minor"/>
    </font>
    <font>
      <b/>
      <sz val="12"/>
      <name val="Calibri"/>
      <family val="2"/>
      <scheme val="minor"/>
    </font>
    <font>
      <b/>
      <i/>
      <sz val="12"/>
      <color theme="1"/>
      <name val="Calibri"/>
      <family val="2"/>
      <scheme val="minor"/>
    </font>
    <font>
      <b/>
      <sz val="12"/>
      <color rgb="FFFF0000"/>
      <name val="Calibri"/>
      <family val="2"/>
      <scheme val="minor"/>
    </font>
    <font>
      <u/>
      <sz val="12"/>
      <color theme="10"/>
      <name val="Calibri"/>
      <family val="2"/>
      <scheme val="minor"/>
    </font>
    <font>
      <b/>
      <sz val="18"/>
      <color theme="1"/>
      <name val="Calibri"/>
      <family val="2"/>
      <scheme val="minor"/>
    </font>
    <font>
      <sz val="15"/>
      <color rgb="FF201F1E"/>
      <name val="Calibri"/>
      <family val="2"/>
      <scheme val="minor"/>
    </font>
    <font>
      <b/>
      <sz val="14"/>
      <color theme="1"/>
      <name val="Calibri"/>
      <family val="2"/>
      <scheme val="minor"/>
    </font>
    <font>
      <sz val="8"/>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11"/>
      <name val="Arial"/>
      <family val="2"/>
    </font>
    <font>
      <sz val="12"/>
      <color rgb="FF000000"/>
      <name val="Calibri"/>
      <family val="2"/>
      <scheme val="minor"/>
    </font>
    <font>
      <b/>
      <i/>
      <sz val="12"/>
      <color theme="1"/>
      <name val="Calibri (Body)"/>
    </font>
    <font>
      <b/>
      <sz val="12"/>
      <color rgb="FFFFFFFF"/>
      <name val="Calibri"/>
      <family val="2"/>
    </font>
    <font>
      <sz val="12"/>
      <color theme="1"/>
      <name val="Calibri"/>
      <family val="2"/>
    </font>
    <font>
      <b/>
      <sz val="11"/>
      <name val="Arial"/>
      <family val="2"/>
    </font>
    <font>
      <i/>
      <sz val="12"/>
      <color theme="1"/>
      <name val="Calibri"/>
      <family val="2"/>
      <scheme val="minor"/>
    </font>
    <font>
      <sz val="14"/>
      <color theme="1"/>
      <name val="Calibri"/>
      <family val="2"/>
      <scheme val="minor"/>
    </font>
    <font>
      <b/>
      <i/>
      <sz val="14"/>
      <color theme="1"/>
      <name val="Calibri (Body)"/>
    </font>
    <font>
      <i/>
      <sz val="14"/>
      <color theme="1"/>
      <name val="Calibri"/>
      <family val="2"/>
      <scheme val="minor"/>
    </font>
    <font>
      <sz val="16"/>
      <color theme="1"/>
      <name val="Calibri"/>
      <family val="2"/>
      <scheme val="minor"/>
    </font>
    <font>
      <i/>
      <sz val="12"/>
      <color rgb="FFFF0000"/>
      <name val="Calibri"/>
      <family val="2"/>
      <scheme val="minor"/>
    </font>
    <font>
      <sz val="10"/>
      <color rgb="FF000000"/>
      <name val="Calibri"/>
      <family val="2"/>
      <scheme val="minor"/>
    </font>
  </fonts>
  <fills count="18">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4472C4"/>
        <bgColor rgb="FF4472C4"/>
      </patternFill>
    </fill>
    <fill>
      <patternFill patternType="solid">
        <fgColor rgb="FFD9E1F2"/>
        <bgColor rgb="FFD9E1F2"/>
      </patternFill>
    </fill>
    <fill>
      <patternFill patternType="solid">
        <fgColor rgb="FFFFFFFF"/>
        <bgColor rgb="FF000000"/>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
      <patternFill patternType="solid">
        <fgColor rgb="FFA7699E"/>
        <bgColor indexed="64"/>
      </patternFill>
    </fill>
    <fill>
      <patternFill patternType="solid">
        <fgColor rgb="FF7030A0"/>
        <bgColor indexed="64"/>
      </patternFill>
    </fill>
    <fill>
      <patternFill patternType="solid">
        <fgColor theme="8"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360">
    <xf numFmtId="0" fontId="0" fillId="0" borderId="0" xfId="0"/>
    <xf numFmtId="0" fontId="3" fillId="0" borderId="0" xfId="0" applyFont="1"/>
    <xf numFmtId="0" fontId="2" fillId="0" borderId="0" xfId="0" applyFont="1"/>
    <xf numFmtId="0" fontId="4" fillId="0" borderId="0" xfId="0" applyFont="1"/>
    <xf numFmtId="0" fontId="2" fillId="0" borderId="4" xfId="0" applyFont="1" applyBorder="1"/>
    <xf numFmtId="0" fontId="5" fillId="0" borderId="5" xfId="0" applyFont="1" applyBorder="1"/>
    <xf numFmtId="0" fontId="2" fillId="2" borderId="4" xfId="0" applyFont="1" applyFill="1" applyBorder="1"/>
    <xf numFmtId="4" fontId="1" fillId="2" borderId="5" xfId="3" applyNumberFormat="1" applyFont="1" applyFill="1" applyBorder="1"/>
    <xf numFmtId="10" fontId="1" fillId="0" borderId="5" xfId="2" applyNumberFormat="1" applyFont="1" applyBorder="1" applyAlignment="1"/>
    <xf numFmtId="4" fontId="0" fillId="2" borderId="5" xfId="0" applyNumberFormat="1" applyFill="1" applyBorder="1"/>
    <xf numFmtId="0" fontId="0" fillId="0" borderId="5" xfId="0" applyBorder="1"/>
    <xf numFmtId="0" fontId="2" fillId="2" borderId="6" xfId="0" applyFont="1" applyFill="1" applyBorder="1"/>
    <xf numFmtId="4" fontId="0" fillId="2" borderId="7" xfId="0" applyNumberFormat="1" applyFill="1" applyBorder="1"/>
    <xf numFmtId="0" fontId="2" fillId="0" borderId="6" xfId="0" applyFont="1" applyBorder="1"/>
    <xf numFmtId="0" fontId="0" fillId="0" borderId="8" xfId="0" applyBorder="1"/>
    <xf numFmtId="9" fontId="0" fillId="0" borderId="7" xfId="0" applyNumberFormat="1" applyBorder="1"/>
    <xf numFmtId="0" fontId="7" fillId="0" borderId="0" xfId="0" applyFont="1"/>
    <xf numFmtId="0" fontId="5" fillId="0" borderId="5" xfId="0" applyFont="1" applyBorder="1" applyAlignment="1">
      <alignment wrapText="1"/>
    </xf>
    <xf numFmtId="165" fontId="1" fillId="0" borderId="5" xfId="2" applyNumberFormat="1" applyFont="1" applyBorder="1"/>
    <xf numFmtId="0" fontId="0" fillId="0" borderId="0" xfId="0" applyAlignment="1">
      <alignment wrapText="1"/>
    </xf>
    <xf numFmtId="0" fontId="7" fillId="0" borderId="0" xfId="0" applyFont="1" applyAlignment="1">
      <alignment wrapText="1"/>
    </xf>
    <xf numFmtId="0" fontId="2" fillId="3" borderId="0" xfId="0" applyFont="1" applyFill="1" applyAlignment="1">
      <alignment wrapText="1"/>
    </xf>
    <xf numFmtId="0" fontId="0" fillId="0" borderId="9" xfId="0" applyBorder="1"/>
    <xf numFmtId="14" fontId="0" fillId="0" borderId="0" xfId="0" applyNumberFormat="1" applyAlignment="1">
      <alignment horizontal="right"/>
    </xf>
    <xf numFmtId="14" fontId="0" fillId="0" borderId="0" xfId="0" applyNumberFormat="1"/>
    <xf numFmtId="165" fontId="7" fillId="0" borderId="0" xfId="2" applyNumberFormat="1" applyFont="1" applyBorder="1"/>
    <xf numFmtId="5" fontId="2" fillId="0" borderId="0" xfId="0" applyNumberFormat="1" applyFont="1"/>
    <xf numFmtId="5" fontId="0" fillId="0" borderId="0" xfId="0" applyNumberFormat="1"/>
    <xf numFmtId="5" fontId="7" fillId="0" borderId="0" xfId="2" applyNumberFormat="1" applyFont="1" applyFill="1" applyBorder="1"/>
    <xf numFmtId="5" fontId="4" fillId="3" borderId="0" xfId="0" applyNumberFormat="1" applyFont="1" applyFill="1"/>
    <xf numFmtId="5" fontId="0" fillId="3" borderId="0" xfId="0" applyNumberFormat="1" applyFill="1"/>
    <xf numFmtId="5" fontId="7" fillId="3" borderId="0" xfId="0" applyNumberFormat="1" applyFont="1" applyFill="1"/>
    <xf numFmtId="0" fontId="0" fillId="3" borderId="0" xfId="0" applyFill="1"/>
    <xf numFmtId="5" fontId="10" fillId="0" borderId="0" xfId="0" applyNumberFormat="1" applyFont="1"/>
    <xf numFmtId="5" fontId="6" fillId="0" borderId="0" xfId="0" applyNumberFormat="1" applyFont="1"/>
    <xf numFmtId="5" fontId="7" fillId="0" borderId="0" xfId="0" applyNumberFormat="1" applyFont="1"/>
    <xf numFmtId="5" fontId="11" fillId="4" borderId="0" xfId="0" applyNumberFormat="1" applyFont="1" applyFill="1"/>
    <xf numFmtId="5" fontId="0" fillId="4" borderId="0" xfId="0" applyNumberFormat="1" applyFill="1"/>
    <xf numFmtId="5" fontId="7" fillId="4" borderId="0" xfId="0" applyNumberFormat="1" applyFont="1" applyFill="1"/>
    <xf numFmtId="5" fontId="1" fillId="4" borderId="0" xfId="1" applyNumberFormat="1" applyFont="1" applyFill="1" applyBorder="1"/>
    <xf numFmtId="0" fontId="0" fillId="4" borderId="0" xfId="0" applyFill="1"/>
    <xf numFmtId="5" fontId="0" fillId="0" borderId="0" xfId="0" applyNumberFormat="1" applyAlignment="1">
      <alignment horizontal="right"/>
    </xf>
    <xf numFmtId="5" fontId="12" fillId="0" borderId="0" xfId="0" applyNumberFormat="1" applyFont="1"/>
    <xf numFmtId="5" fontId="4" fillId="0" borderId="0" xfId="0" applyNumberFormat="1" applyFont="1"/>
    <xf numFmtId="5" fontId="5" fillId="4" borderId="0" xfId="0" applyNumberFormat="1" applyFont="1" applyFill="1" applyAlignment="1">
      <alignment wrapText="1"/>
    </xf>
    <xf numFmtId="43" fontId="0" fillId="0" borderId="0" xfId="0" applyNumberFormat="1"/>
    <xf numFmtId="43" fontId="1" fillId="0" borderId="0" xfId="1" applyFont="1" applyFill="1" applyBorder="1"/>
    <xf numFmtId="8" fontId="0" fillId="0" borderId="0" xfId="0" applyNumberFormat="1"/>
    <xf numFmtId="9" fontId="0" fillId="0" borderId="0" xfId="0" applyNumberFormat="1"/>
    <xf numFmtId="166" fontId="6" fillId="0" borderId="5" xfId="1" applyNumberFormat="1" applyFont="1" applyBorder="1" applyAlignment="1"/>
    <xf numFmtId="166" fontId="6" fillId="0" borderId="5" xfId="1" applyNumberFormat="1" applyFont="1" applyBorder="1"/>
    <xf numFmtId="0" fontId="2" fillId="0" borderId="0" xfId="0" applyFont="1" applyFill="1" applyAlignment="1">
      <alignment wrapText="1"/>
    </xf>
    <xf numFmtId="0" fontId="0" fillId="0" borderId="0" xfId="0" applyNumberFormat="1" applyAlignment="1">
      <alignment horizontal="right"/>
    </xf>
    <xf numFmtId="0" fontId="10" fillId="3" borderId="0" xfId="0" applyFont="1" applyFill="1" applyAlignment="1">
      <alignment wrapText="1"/>
    </xf>
    <xf numFmtId="0" fontId="0" fillId="0" borderId="0" xfId="0" applyNumberFormat="1"/>
    <xf numFmtId="0" fontId="2" fillId="0" borderId="10" xfId="0" applyFont="1" applyBorder="1"/>
    <xf numFmtId="0" fontId="0" fillId="0" borderId="4" xfId="0" applyBorder="1"/>
    <xf numFmtId="10" fontId="0" fillId="0" borderId="5" xfId="0" applyNumberFormat="1" applyBorder="1"/>
    <xf numFmtId="0" fontId="13" fillId="0" borderId="0" xfId="5"/>
    <xf numFmtId="0" fontId="0" fillId="0" borderId="6" xfId="0" applyBorder="1"/>
    <xf numFmtId="5" fontId="0" fillId="0" borderId="5" xfId="0" applyNumberFormat="1" applyBorder="1"/>
    <xf numFmtId="5" fontId="0" fillId="0" borderId="7" xfId="0" applyNumberFormat="1" applyBorder="1"/>
    <xf numFmtId="0" fontId="14" fillId="0" borderId="0" xfId="0" applyFont="1"/>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wrapText="1"/>
    </xf>
    <xf numFmtId="0" fontId="2" fillId="0" borderId="0" xfId="0" applyFont="1" applyAlignment="1">
      <alignment horizontal="center" vertical="center" wrapText="1"/>
    </xf>
    <xf numFmtId="44" fontId="0" fillId="0" borderId="0" xfId="4" applyFont="1"/>
    <xf numFmtId="10" fontId="0" fillId="0" borderId="0" xfId="0" applyNumberFormat="1" applyAlignment="1">
      <alignment horizontal="center" vertical="center"/>
    </xf>
    <xf numFmtId="10" fontId="0" fillId="0" borderId="0" xfId="0" applyNumberFormat="1" applyAlignment="1">
      <alignment horizontal="center"/>
    </xf>
    <xf numFmtId="9" fontId="0" fillId="0" borderId="0" xfId="0" applyNumberFormat="1" applyAlignment="1">
      <alignment horizontal="center"/>
    </xf>
    <xf numFmtId="44" fontId="0" fillId="0" borderId="0" xfId="0" applyNumberFormat="1"/>
    <xf numFmtId="0" fontId="2" fillId="0" borderId="0" xfId="0" applyFont="1" applyAlignment="1">
      <alignment horizontal="center" vertical="center"/>
    </xf>
    <xf numFmtId="0" fontId="2" fillId="0" borderId="0" xfId="0" applyFont="1" applyAlignment="1">
      <alignment horizontal="center"/>
    </xf>
    <xf numFmtId="6" fontId="0" fillId="0" borderId="0" xfId="0" applyNumberFormat="1"/>
    <xf numFmtId="9" fontId="0" fillId="0" borderId="0" xfId="0" applyNumberFormat="1" applyAlignment="1">
      <alignment horizontal="center" vertical="center"/>
    </xf>
    <xf numFmtId="44" fontId="0" fillId="0" borderId="11" xfId="0" applyNumberFormat="1" applyBorder="1"/>
    <xf numFmtId="44" fontId="0" fillId="0" borderId="5" xfId="0" applyNumberFormat="1" applyBorder="1"/>
    <xf numFmtId="165" fontId="15" fillId="0" borderId="7" xfId="2" applyNumberFormat="1" applyFont="1" applyBorder="1"/>
    <xf numFmtId="14" fontId="0" fillId="6" borderId="0" xfId="0" applyNumberFormat="1" applyFill="1"/>
    <xf numFmtId="0" fontId="0" fillId="6" borderId="0" xfId="0" applyFill="1"/>
    <xf numFmtId="5" fontId="0" fillId="0" borderId="0" xfId="4" applyNumberFormat="1" applyFont="1"/>
    <xf numFmtId="5" fontId="0" fillId="6" borderId="0" xfId="0" applyNumberFormat="1" applyFill="1"/>
    <xf numFmtId="6" fontId="0" fillId="0" borderId="5" xfId="0" applyNumberFormat="1" applyBorder="1"/>
    <xf numFmtId="44" fontId="0" fillId="0" borderId="0" xfId="4" applyFont="1" applyFill="1" applyAlignment="1">
      <alignment horizontal="right"/>
    </xf>
    <xf numFmtId="44" fontId="0" fillId="0" borderId="0" xfId="4" applyFont="1" applyFill="1"/>
    <xf numFmtId="167" fontId="0" fillId="0" borderId="0" xfId="4" applyNumberFormat="1" applyFont="1"/>
    <xf numFmtId="167" fontId="2" fillId="0" borderId="0" xfId="0" applyNumberFormat="1" applyFont="1"/>
    <xf numFmtId="167" fontId="0" fillId="0" borderId="0" xfId="0" applyNumberFormat="1" applyFill="1"/>
    <xf numFmtId="0" fontId="16" fillId="3" borderId="0" xfId="0" applyFont="1" applyFill="1"/>
    <xf numFmtId="0" fontId="0" fillId="3" borderId="0" xfId="0" applyFill="1" applyAlignment="1">
      <alignment horizontal="center" vertical="center"/>
    </xf>
    <xf numFmtId="0" fontId="0" fillId="3" borderId="0" xfId="0" applyFill="1" applyAlignment="1">
      <alignment horizontal="center"/>
    </xf>
    <xf numFmtId="0" fontId="0" fillId="4" borderId="0" xfId="0" applyFill="1" applyAlignment="1">
      <alignment horizontal="center" vertical="center"/>
    </xf>
    <xf numFmtId="0" fontId="0" fillId="4" borderId="0" xfId="0" applyFill="1" applyAlignment="1">
      <alignment horizontal="center"/>
    </xf>
    <xf numFmtId="44" fontId="0" fillId="3" borderId="0" xfId="4" applyFont="1" applyFill="1"/>
    <xf numFmtId="0" fontId="2" fillId="0" borderId="14" xfId="0" applyFont="1" applyBorder="1"/>
    <xf numFmtId="0" fontId="2" fillId="4" borderId="14" xfId="0" applyFont="1" applyFill="1" applyBorder="1"/>
    <xf numFmtId="0" fontId="0" fillId="4" borderId="13" xfId="0" applyFill="1" applyBorder="1"/>
    <xf numFmtId="0" fontId="0" fillId="4" borderId="8" xfId="0" applyFill="1" applyBorder="1"/>
    <xf numFmtId="0" fontId="0" fillId="4" borderId="7" xfId="0" applyFill="1" applyBorder="1"/>
    <xf numFmtId="6" fontId="0" fillId="0" borderId="14" xfId="0" applyNumberFormat="1" applyBorder="1"/>
    <xf numFmtId="6" fontId="0" fillId="0" borderId="0" xfId="0" applyNumberFormat="1" applyBorder="1"/>
    <xf numFmtId="6" fontId="0" fillId="0" borderId="8" xfId="0" applyNumberFormat="1" applyBorder="1"/>
    <xf numFmtId="0" fontId="2" fillId="0" borderId="13" xfId="0" applyFont="1" applyBorder="1"/>
    <xf numFmtId="0" fontId="16" fillId="0" borderId="12" xfId="0" applyFont="1" applyFill="1" applyBorder="1"/>
    <xf numFmtId="6" fontId="0" fillId="0" borderId="13" xfId="0" applyNumberFormat="1" applyBorder="1"/>
    <xf numFmtId="6" fontId="0" fillId="0" borderId="12" xfId="0" applyNumberFormat="1" applyBorder="1"/>
    <xf numFmtId="0" fontId="2" fillId="4" borderId="0" xfId="0" applyFont="1" applyFill="1"/>
    <xf numFmtId="10" fontId="0" fillId="0" borderId="0" xfId="2" applyNumberFormat="1" applyFont="1" applyAlignment="1">
      <alignment horizontal="center" vertical="center"/>
    </xf>
    <xf numFmtId="167" fontId="6" fillId="0" borderId="5" xfId="4" applyNumberFormat="1" applyFont="1" applyBorder="1" applyAlignment="1"/>
    <xf numFmtId="167" fontId="6" fillId="0" borderId="5" xfId="4" applyNumberFormat="1" applyFont="1" applyBorder="1"/>
    <xf numFmtId="0" fontId="2" fillId="0" borderId="12" xfId="0" applyFont="1" applyBorder="1"/>
    <xf numFmtId="6" fontId="0" fillId="0" borderId="2" xfId="0" applyNumberFormat="1" applyBorder="1"/>
    <xf numFmtId="167" fontId="0" fillId="0" borderId="0" xfId="4" applyNumberFormat="1" applyFont="1" applyAlignment="1">
      <alignment horizontal="center" vertical="center"/>
    </xf>
    <xf numFmtId="0" fontId="0" fillId="0" borderId="0" xfId="0" applyAlignment="1">
      <alignment vertical="center"/>
    </xf>
    <xf numFmtId="0" fontId="5" fillId="0" borderId="5" xfId="0" applyNumberFormat="1" applyFont="1" applyBorder="1"/>
    <xf numFmtId="44" fontId="0" fillId="0" borderId="14" xfId="0" applyNumberFormat="1" applyBorder="1"/>
    <xf numFmtId="6" fontId="0" fillId="0" borderId="6" xfId="0" applyNumberFormat="1" applyBorder="1"/>
    <xf numFmtId="0" fontId="2" fillId="2" borderId="5" xfId="0" applyFont="1" applyFill="1" applyBorder="1"/>
    <xf numFmtId="165" fontId="7" fillId="2" borderId="6" xfId="2" applyNumberFormat="1" applyFont="1" applyFill="1" applyBorder="1"/>
    <xf numFmtId="0" fontId="10" fillId="0" borderId="0" xfId="5" applyFont="1"/>
    <xf numFmtId="0" fontId="9" fillId="2" borderId="15" xfId="0" applyFont="1" applyFill="1" applyBorder="1"/>
    <xf numFmtId="165" fontId="7" fillId="2" borderId="13" xfId="2" applyNumberFormat="1" applyFont="1" applyFill="1" applyBorder="1"/>
    <xf numFmtId="165" fontId="0" fillId="0" borderId="0" xfId="2" applyNumberFormat="1" applyFont="1" applyBorder="1"/>
    <xf numFmtId="165" fontId="0" fillId="0" borderId="8" xfId="2" applyNumberFormat="1" applyFont="1" applyBorder="1"/>
    <xf numFmtId="0" fontId="2" fillId="4" borderId="14" xfId="0" applyFont="1" applyFill="1" applyBorder="1" applyAlignment="1">
      <alignment horizontal="center"/>
    </xf>
    <xf numFmtId="0" fontId="0" fillId="0" borderId="0" xfId="0" applyBorder="1"/>
    <xf numFmtId="44" fontId="2" fillId="4" borderId="0" xfId="4" applyFont="1" applyFill="1"/>
    <xf numFmtId="0" fontId="2" fillId="4" borderId="0" xfId="0" applyFont="1" applyFill="1" applyAlignment="1">
      <alignment horizontal="center" vertical="center"/>
    </xf>
    <xf numFmtId="0" fontId="2" fillId="4" borderId="0" xfId="0" applyFont="1" applyFill="1" applyAlignment="1">
      <alignment horizontal="center"/>
    </xf>
    <xf numFmtId="3" fontId="0" fillId="0" borderId="0" xfId="0" applyNumberFormat="1"/>
    <xf numFmtId="0" fontId="5" fillId="0" borderId="11" xfId="0" applyNumberFormat="1" applyFont="1" applyBorder="1"/>
    <xf numFmtId="0" fontId="2" fillId="0" borderId="10" xfId="0" applyFont="1" applyFill="1" applyBorder="1"/>
    <xf numFmtId="0" fontId="0" fillId="0" borderId="9" xfId="0" applyFill="1" applyBorder="1"/>
    <xf numFmtId="0" fontId="5" fillId="0" borderId="11" xfId="0" applyFont="1" applyFill="1" applyBorder="1" applyAlignment="1">
      <alignment wrapText="1"/>
    </xf>
    <xf numFmtId="0" fontId="2" fillId="0" borderId="4" xfId="0" applyFont="1" applyFill="1" applyBorder="1"/>
    <xf numFmtId="0" fontId="0" fillId="0" borderId="0" xfId="0" applyFill="1" applyBorder="1"/>
    <xf numFmtId="0" fontId="0" fillId="0" borderId="5" xfId="0" applyFill="1" applyBorder="1"/>
    <xf numFmtId="165" fontId="0" fillId="0" borderId="0" xfId="2" applyNumberFormat="1" applyFont="1"/>
    <xf numFmtId="0" fontId="0" fillId="0" borderId="0" xfId="0" applyFont="1"/>
    <xf numFmtId="0" fontId="2" fillId="0" borderId="0" xfId="0" applyFont="1" applyFill="1"/>
    <xf numFmtId="0" fontId="0" fillId="0" borderId="0" xfId="0" applyFill="1"/>
    <xf numFmtId="5" fontId="0" fillId="0" borderId="0" xfId="0" applyNumberFormat="1" applyFill="1"/>
    <xf numFmtId="0" fontId="0" fillId="0" borderId="11" xfId="0" applyBorder="1" applyAlignment="1">
      <alignment horizontal="right" vertical="center"/>
    </xf>
    <xf numFmtId="44" fontId="22" fillId="0" borderId="5" xfId="0" applyNumberFormat="1" applyFont="1" applyBorder="1" applyAlignment="1">
      <alignment horizontal="center"/>
    </xf>
    <xf numFmtId="10" fontId="1" fillId="0" borderId="5" xfId="2" applyNumberFormat="1" applyFont="1" applyFill="1" applyBorder="1"/>
    <xf numFmtId="169" fontId="0" fillId="0" borderId="0" xfId="0" applyNumberFormat="1"/>
    <xf numFmtId="44" fontId="0" fillId="0" borderId="5" xfId="4" applyFont="1" applyBorder="1"/>
    <xf numFmtId="44" fontId="0" fillId="0" borderId="0" xfId="0" applyNumberFormat="1" applyFont="1"/>
    <xf numFmtId="14" fontId="0" fillId="0" borderId="0" xfId="0" applyNumberFormat="1" applyFill="1"/>
    <xf numFmtId="165" fontId="0" fillId="0" borderId="0" xfId="2" applyNumberFormat="1" applyFont="1" applyFill="1"/>
    <xf numFmtId="4" fontId="0" fillId="0" borderId="5" xfId="0" applyNumberFormat="1" applyBorder="1"/>
    <xf numFmtId="10" fontId="0" fillId="0" borderId="0" xfId="0" applyNumberFormat="1" applyAlignment="1">
      <alignment horizontal="center" vertical="center" wrapText="1"/>
    </xf>
    <xf numFmtId="10" fontId="0" fillId="0" borderId="0" xfId="0" applyNumberFormat="1" applyAlignment="1">
      <alignment horizontal="center" wrapText="1"/>
    </xf>
    <xf numFmtId="3" fontId="0" fillId="0" borderId="5" xfId="0" applyNumberFormat="1" applyBorder="1"/>
    <xf numFmtId="44" fontId="0" fillId="0" borderId="0" xfId="0" applyNumberFormat="1" applyFill="1"/>
    <xf numFmtId="0" fontId="23" fillId="0" borderId="0" xfId="0" applyFont="1"/>
    <xf numFmtId="0" fontId="0" fillId="7" borderId="0" xfId="0" applyFill="1"/>
    <xf numFmtId="0" fontId="3" fillId="7" borderId="0" xfId="0" applyFont="1" applyFill="1"/>
    <xf numFmtId="0" fontId="0" fillId="0" borderId="0" xfId="0" applyBorder="1" applyAlignment="1">
      <alignment horizontal="center" vertical="center"/>
    </xf>
    <xf numFmtId="3" fontId="22" fillId="0" borderId="0" xfId="0" applyNumberFormat="1" applyFont="1" applyBorder="1" applyAlignment="1">
      <alignment horizontal="center"/>
    </xf>
    <xf numFmtId="170" fontId="22" fillId="0" borderId="0" xfId="1" applyNumberFormat="1" applyFont="1" applyBorder="1" applyAlignment="1">
      <alignment horizontal="center"/>
    </xf>
    <xf numFmtId="43" fontId="0" fillId="0" borderId="0" xfId="1" applyFont="1" applyBorder="1" applyAlignment="1">
      <alignment horizontal="right"/>
    </xf>
    <xf numFmtId="43" fontId="22" fillId="0" borderId="0" xfId="1" applyFont="1" applyBorder="1" applyAlignment="1">
      <alignment horizontal="right"/>
    </xf>
    <xf numFmtId="3" fontId="0" fillId="0" borderId="5" xfId="0" applyNumberFormat="1" applyFill="1" applyBorder="1"/>
    <xf numFmtId="44" fontId="0" fillId="0" borderId="5" xfId="0" applyNumberFormat="1" applyFill="1" applyBorder="1"/>
    <xf numFmtId="44" fontId="0" fillId="0" borderId="1" xfId="0" applyNumberFormat="1" applyBorder="1"/>
    <xf numFmtId="0" fontId="3" fillId="8" borderId="0" xfId="0" applyFont="1" applyFill="1"/>
    <xf numFmtId="0" fontId="0" fillId="8" borderId="0" xfId="0" applyFill="1"/>
    <xf numFmtId="0" fontId="0" fillId="4" borderId="0" xfId="0" applyFill="1" applyBorder="1"/>
    <xf numFmtId="0" fontId="0" fillId="4" borderId="5" xfId="0" applyFill="1" applyBorder="1"/>
    <xf numFmtId="6" fontId="0" fillId="0" borderId="9" xfId="0" applyNumberFormat="1" applyBorder="1"/>
    <xf numFmtId="6" fontId="0" fillId="0" borderId="4" xfId="0" applyNumberFormat="1" applyBorder="1"/>
    <xf numFmtId="44" fontId="0" fillId="0" borderId="10" xfId="0" applyNumberFormat="1" applyBorder="1"/>
    <xf numFmtId="5" fontId="24" fillId="4" borderId="0" xfId="0" applyNumberFormat="1" applyFont="1" applyFill="1"/>
    <xf numFmtId="44" fontId="22" fillId="0" borderId="0" xfId="0" applyNumberFormat="1" applyFont="1" applyBorder="1" applyAlignment="1">
      <alignment horizontal="center"/>
    </xf>
    <xf numFmtId="44" fontId="0" fillId="0" borderId="8" xfId="0" applyNumberFormat="1" applyBorder="1"/>
    <xf numFmtId="43" fontId="0" fillId="0" borderId="5" xfId="1" applyFont="1" applyBorder="1" applyAlignment="1">
      <alignment horizontal="right"/>
    </xf>
    <xf numFmtId="165" fontId="0" fillId="0" borderId="9" xfId="2" applyNumberFormat="1" applyFont="1" applyBorder="1"/>
    <xf numFmtId="0" fontId="25" fillId="9" borderId="16" xfId="0" applyFont="1" applyFill="1" applyBorder="1"/>
    <xf numFmtId="0" fontId="25" fillId="9" borderId="17" xfId="0" applyFont="1" applyFill="1" applyBorder="1"/>
    <xf numFmtId="0" fontId="25" fillId="9" borderId="18" xfId="0" applyFont="1" applyFill="1" applyBorder="1"/>
    <xf numFmtId="0" fontId="26" fillId="10" borderId="16" xfId="0" applyFont="1" applyFill="1" applyBorder="1"/>
    <xf numFmtId="0" fontId="26" fillId="10" borderId="17" xfId="0" applyFont="1" applyFill="1" applyBorder="1"/>
    <xf numFmtId="0" fontId="26" fillId="10" borderId="18" xfId="0" applyFont="1" applyFill="1" applyBorder="1"/>
    <xf numFmtId="0" fontId="26" fillId="0" borderId="16" xfId="0" applyFont="1" applyBorder="1"/>
    <xf numFmtId="0" fontId="26" fillId="0" borderId="17" xfId="0" applyFont="1" applyBorder="1"/>
    <xf numFmtId="0" fontId="26" fillId="0" borderId="18" xfId="0" applyFont="1" applyBorder="1"/>
    <xf numFmtId="10" fontId="26" fillId="0" borderId="17" xfId="2" applyNumberFormat="1" applyFont="1" applyFill="1" applyBorder="1"/>
    <xf numFmtId="10" fontId="26" fillId="0" borderId="18" xfId="2" applyNumberFormat="1" applyFont="1" applyFill="1" applyBorder="1"/>
    <xf numFmtId="0" fontId="27" fillId="0" borderId="0" xfId="0" applyFont="1" applyBorder="1" applyAlignment="1">
      <alignment horizontal="center" vertical="center" wrapText="1"/>
    </xf>
    <xf numFmtId="4" fontId="22" fillId="0" borderId="0" xfId="0" applyNumberFormat="1" applyFont="1" applyBorder="1" applyAlignment="1">
      <alignment horizontal="center"/>
    </xf>
    <xf numFmtId="0" fontId="22" fillId="0" borderId="0" xfId="0" applyFont="1" applyBorder="1" applyAlignment="1">
      <alignment horizontal="center"/>
    </xf>
    <xf numFmtId="3" fontId="22" fillId="11" borderId="0" xfId="0" applyNumberFormat="1" applyFont="1" applyFill="1" applyBorder="1" applyAlignment="1">
      <alignment horizontal="center"/>
    </xf>
    <xf numFmtId="0" fontId="1" fillId="0" borderId="5" xfId="2" applyNumberFormat="1" applyFont="1" applyBorder="1"/>
    <xf numFmtId="10" fontId="0" fillId="0" borderId="7" xfId="0" applyNumberFormat="1" applyBorder="1"/>
    <xf numFmtId="0" fontId="10" fillId="0" borderId="6" xfId="0" applyFont="1" applyBorder="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7" borderId="0" xfId="0" applyFill="1" applyAlignment="1">
      <alignment wrapText="1"/>
    </xf>
    <xf numFmtId="0" fontId="0" fillId="0" borderId="0" xfId="0" applyAlignment="1">
      <alignment vertical="top" wrapText="1"/>
    </xf>
    <xf numFmtId="0" fontId="16" fillId="17" borderId="0" xfId="0" applyFont="1" applyFill="1"/>
    <xf numFmtId="0" fontId="29" fillId="17" borderId="0" xfId="0" applyFont="1" applyFill="1"/>
    <xf numFmtId="0" fontId="13" fillId="0" borderId="0" xfId="5" applyAlignment="1">
      <alignment vertical="top"/>
    </xf>
    <xf numFmtId="0" fontId="0" fillId="0" borderId="0" xfId="0" applyFill="1" applyBorder="1" applyAlignment="1">
      <alignment vertical="top" wrapText="1"/>
    </xf>
    <xf numFmtId="0" fontId="28" fillId="0" borderId="0" xfId="0" applyFont="1" applyAlignment="1">
      <alignment vertical="top"/>
    </xf>
    <xf numFmtId="0" fontId="2" fillId="0" borderId="4" xfId="0" applyFont="1" applyBorder="1" applyAlignment="1">
      <alignment wrapText="1"/>
    </xf>
    <xf numFmtId="0" fontId="10" fillId="0" borderId="6" xfId="0" applyFont="1" applyBorder="1" applyAlignment="1">
      <alignment wrapText="1"/>
    </xf>
    <xf numFmtId="0" fontId="3" fillId="17" borderId="0" xfId="0" applyFont="1" applyFill="1" applyAlignment="1">
      <alignment vertical="top"/>
    </xf>
    <xf numFmtId="0" fontId="29" fillId="0" borderId="0" xfId="0" applyFont="1" applyFill="1"/>
    <xf numFmtId="0" fontId="10" fillId="0" borderId="0" xfId="0" applyFont="1" applyBorder="1" applyAlignment="1">
      <alignment wrapText="1"/>
    </xf>
    <xf numFmtId="10" fontId="0" fillId="0" borderId="0" xfId="0" applyNumberFormat="1" applyBorder="1"/>
    <xf numFmtId="0" fontId="29" fillId="5" borderId="0" xfId="0" applyFont="1" applyFill="1" applyAlignment="1">
      <alignment vertical="top" wrapText="1"/>
    </xf>
    <xf numFmtId="0" fontId="16" fillId="5" borderId="0" xfId="0" applyFont="1" applyFill="1"/>
    <xf numFmtId="0" fontId="0" fillId="5" borderId="0" xfId="0" applyFill="1"/>
    <xf numFmtId="44" fontId="6" fillId="0" borderId="5" xfId="4" applyFont="1" applyBorder="1" applyAlignment="1"/>
    <xf numFmtId="44" fontId="6" fillId="0" borderId="5" xfId="4" applyFont="1" applyBorder="1"/>
    <xf numFmtId="0" fontId="32" fillId="0" borderId="0" xfId="0" applyFont="1" applyAlignment="1">
      <alignment wrapText="1"/>
    </xf>
    <xf numFmtId="0" fontId="3" fillId="0" borderId="0" xfId="0" applyFont="1" applyAlignment="1"/>
    <xf numFmtId="167" fontId="0" fillId="0" borderId="0" xfId="0" applyNumberFormat="1" applyAlignment="1">
      <alignment horizontal="center" vertical="center"/>
    </xf>
    <xf numFmtId="0" fontId="0" fillId="0" borderId="0" xfId="0" applyFill="1" applyAlignment="1">
      <alignment horizontal="center" vertical="center"/>
    </xf>
    <xf numFmtId="10" fontId="0" fillId="0" borderId="0" xfId="0" applyNumberFormat="1" applyFill="1" applyAlignment="1">
      <alignment horizontal="center" vertical="center"/>
    </xf>
    <xf numFmtId="0" fontId="0" fillId="0" borderId="0" xfId="0" applyFill="1" applyBorder="1" applyAlignment="1">
      <alignment horizontal="center" vertical="center"/>
    </xf>
    <xf numFmtId="3" fontId="22" fillId="0" borderId="0" xfId="0" applyNumberFormat="1" applyFont="1" applyFill="1" applyBorder="1" applyAlignment="1">
      <alignment horizontal="center"/>
    </xf>
    <xf numFmtId="43" fontId="0" fillId="0" borderId="0" xfId="1" applyFont="1" applyFill="1" applyBorder="1" applyAlignment="1">
      <alignment horizontal="right"/>
    </xf>
    <xf numFmtId="10" fontId="5" fillId="0" borderId="11" xfId="0" applyNumberFormat="1" applyFont="1" applyBorder="1"/>
    <xf numFmtId="44" fontId="5" fillId="0" borderId="11" xfId="0" applyNumberFormat="1" applyFont="1" applyBorder="1"/>
    <xf numFmtId="10" fontId="5" fillId="0" borderId="11" xfId="2" applyNumberFormat="1" applyFont="1" applyBorder="1"/>
    <xf numFmtId="43" fontId="5" fillId="0" borderId="11" xfId="0" applyNumberFormat="1" applyFont="1" applyBorder="1"/>
    <xf numFmtId="0" fontId="2" fillId="3" borderId="0" xfId="0" applyFont="1" applyFill="1" applyAlignment="1">
      <alignment vertical="top" wrapText="1"/>
    </xf>
    <xf numFmtId="0" fontId="0" fillId="0" borderId="0" xfId="0" applyFont="1" applyAlignment="1">
      <alignment wrapText="1"/>
    </xf>
    <xf numFmtId="0" fontId="2" fillId="0" borderId="0" xfId="0" applyFont="1" applyFill="1" applyAlignment="1">
      <alignment horizontal="center" vertical="center"/>
    </xf>
    <xf numFmtId="8" fontId="0" fillId="0" borderId="0" xfId="0" applyNumberFormat="1" applyFont="1"/>
    <xf numFmtId="0" fontId="13" fillId="0" borderId="0" xfId="5" applyAlignment="1">
      <alignment vertical="top" wrapText="1"/>
    </xf>
    <xf numFmtId="0" fontId="0" fillId="0" borderId="0" xfId="0"/>
    <xf numFmtId="0" fontId="0" fillId="0" borderId="9" xfId="0" applyBorder="1"/>
    <xf numFmtId="5" fontId="4" fillId="3" borderId="0" xfId="0" applyNumberFormat="1" applyFont="1" applyFill="1"/>
    <xf numFmtId="5" fontId="11" fillId="4" borderId="0" xfId="0" applyNumberFormat="1" applyFont="1" applyFill="1"/>
    <xf numFmtId="5" fontId="0" fillId="4" borderId="0" xfId="0" applyNumberFormat="1" applyFill="1"/>
    <xf numFmtId="5" fontId="7" fillId="4" borderId="0" xfId="0" applyNumberFormat="1" applyFont="1" applyFill="1"/>
    <xf numFmtId="5" fontId="1" fillId="4" borderId="0" xfId="1" applyNumberFormat="1" applyFont="1" applyFill="1" applyBorder="1"/>
    <xf numFmtId="0" fontId="0" fillId="4" borderId="0" xfId="0" applyFill="1"/>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44" fontId="0" fillId="0" borderId="0" xfId="4" applyFont="1" applyFill="1"/>
    <xf numFmtId="0" fontId="0" fillId="3" borderId="0" xfId="0" applyFill="1" applyAlignment="1">
      <alignment horizontal="center" vertical="center"/>
    </xf>
    <xf numFmtId="0" fontId="0" fillId="4" borderId="0" xfId="0" applyFill="1" applyAlignment="1">
      <alignment horizontal="center" vertical="center"/>
    </xf>
    <xf numFmtId="0" fontId="0" fillId="4" borderId="7" xfId="0" applyFill="1" applyBorder="1"/>
    <xf numFmtId="167" fontId="0" fillId="0" borderId="0" xfId="4" applyNumberFormat="1" applyFont="1" applyAlignment="1">
      <alignment horizontal="center" vertical="center"/>
    </xf>
    <xf numFmtId="44" fontId="0" fillId="0" borderId="0" xfId="4" applyFont="1" applyAlignment="1">
      <alignment horizontal="center" vertical="center"/>
    </xf>
    <xf numFmtId="165" fontId="7" fillId="2" borderId="6" xfId="2" applyNumberFormat="1" applyFont="1" applyFill="1" applyBorder="1"/>
    <xf numFmtId="165" fontId="7" fillId="2" borderId="13" xfId="2" applyNumberFormat="1" applyFont="1" applyFill="1" applyBorder="1"/>
    <xf numFmtId="0" fontId="2" fillId="0" borderId="4" xfId="0" applyFont="1" applyFill="1" applyBorder="1"/>
    <xf numFmtId="0" fontId="0" fillId="0" borderId="0" xfId="0" applyFill="1" applyBorder="1"/>
    <xf numFmtId="165" fontId="1" fillId="0" borderId="5" xfId="2" applyNumberFormat="1" applyFont="1" applyFill="1" applyBorder="1"/>
    <xf numFmtId="0" fontId="0" fillId="0" borderId="5" xfId="0" applyFill="1" applyBorder="1"/>
    <xf numFmtId="0" fontId="0" fillId="0" borderId="8" xfId="0" applyFill="1" applyBorder="1"/>
    <xf numFmtId="0" fontId="2" fillId="0" borderId="0" xfId="0" applyFont="1" applyFill="1"/>
    <xf numFmtId="0" fontId="0" fillId="0" borderId="0" xfId="0" applyFill="1"/>
    <xf numFmtId="5" fontId="0" fillId="0" borderId="0" xfId="0" applyNumberFormat="1" applyFill="1"/>
    <xf numFmtId="3" fontId="22" fillId="0" borderId="0" xfId="0" applyNumberFormat="1" applyFont="1" applyBorder="1" applyAlignment="1">
      <alignment horizontal="center"/>
    </xf>
    <xf numFmtId="170" fontId="22" fillId="0" borderId="0" xfId="1" applyNumberFormat="1" applyFont="1" applyBorder="1" applyAlignment="1">
      <alignment horizontal="center"/>
    </xf>
    <xf numFmtId="172" fontId="22" fillId="0" borderId="0" xfId="0" applyNumberFormat="1" applyFont="1" applyBorder="1" applyAlignment="1">
      <alignment horizontal="center"/>
    </xf>
    <xf numFmtId="0" fontId="16" fillId="3" borderId="3" xfId="0" applyFont="1" applyFill="1" applyBorder="1" applyAlignment="1">
      <alignment horizontal="center"/>
    </xf>
    <xf numFmtId="165" fontId="28" fillId="0" borderId="5" xfId="2" applyNumberFormat="1" applyFont="1" applyBorder="1"/>
    <xf numFmtId="165" fontId="28" fillId="0" borderId="3" xfId="2" applyNumberFormat="1" applyFont="1" applyBorder="1"/>
    <xf numFmtId="165" fontId="28" fillId="0" borderId="11" xfId="2" applyNumberFormat="1" applyFont="1" applyBorder="1"/>
    <xf numFmtId="168" fontId="28" fillId="0" borderId="5" xfId="2" applyNumberFormat="1" applyFont="1" applyBorder="1"/>
    <xf numFmtId="173" fontId="28" fillId="0" borderId="5" xfId="2" applyNumberFormat="1" applyFont="1" applyBorder="1"/>
    <xf numFmtId="168" fontId="28" fillId="0" borderId="7" xfId="2" applyNumberFormat="1" applyFont="1" applyBorder="1"/>
    <xf numFmtId="173" fontId="28" fillId="0" borderId="7" xfId="2" applyNumberFormat="1" applyFont="1" applyBorder="1"/>
    <xf numFmtId="168" fontId="28" fillId="0" borderId="11" xfId="2" applyNumberFormat="1" applyFont="1" applyBorder="1"/>
    <xf numFmtId="165" fontId="33" fillId="0" borderId="5" xfId="2" applyNumberFormat="1" applyFont="1" applyBorder="1"/>
    <xf numFmtId="165" fontId="33" fillId="0" borderId="11" xfId="2" applyNumberFormat="1" applyFont="1" applyBorder="1"/>
    <xf numFmtId="165" fontId="33" fillId="0" borderId="3" xfId="2" applyNumberFormat="1" applyFont="1" applyBorder="1"/>
    <xf numFmtId="165" fontId="33" fillId="0" borderId="7" xfId="2" applyNumberFormat="1" applyFont="1" applyBorder="1"/>
    <xf numFmtId="9" fontId="0" fillId="0" borderId="0" xfId="0" applyNumberFormat="1" applyFill="1" applyAlignment="1">
      <alignment horizontal="center" vertical="center"/>
    </xf>
    <xf numFmtId="44" fontId="0" fillId="3" borderId="0" xfId="4" applyFont="1" applyFill="1" applyAlignment="1">
      <alignment horizontal="center" vertical="center"/>
    </xf>
    <xf numFmtId="44" fontId="0" fillId="0" borderId="0" xfId="4" applyFont="1" applyFill="1" applyAlignment="1">
      <alignment horizontal="center" vertical="center"/>
    </xf>
    <xf numFmtId="44" fontId="2" fillId="4" borderId="0" xfId="4" applyFont="1" applyFill="1" applyAlignment="1">
      <alignment horizontal="center" vertical="center"/>
    </xf>
    <xf numFmtId="8" fontId="0" fillId="0" borderId="0" xfId="0" applyNumberFormat="1" applyAlignment="1">
      <alignment horizontal="center" vertical="center"/>
    </xf>
    <xf numFmtId="6" fontId="0" fillId="0" borderId="0" xfId="0" applyNumberFormat="1" applyAlignment="1">
      <alignment horizontal="center" vertical="center"/>
    </xf>
    <xf numFmtId="44" fontId="0" fillId="0" borderId="0" xfId="0" applyNumberFormat="1" applyAlignment="1">
      <alignment horizontal="center" vertical="center"/>
    </xf>
    <xf numFmtId="0" fontId="10" fillId="0" borderId="0" xfId="5" applyFont="1" applyFill="1" applyBorder="1"/>
    <xf numFmtId="0" fontId="13" fillId="0" borderId="0" xfId="5" applyFill="1" applyBorder="1"/>
    <xf numFmtId="0" fontId="25" fillId="0" borderId="0" xfId="0" applyFont="1" applyFill="1" applyBorder="1"/>
    <xf numFmtId="0" fontId="26" fillId="0" borderId="0" xfId="0" applyFont="1" applyFill="1" applyBorder="1"/>
    <xf numFmtId="10" fontId="26" fillId="0" borderId="0" xfId="2" applyNumberFormat="1" applyFont="1" applyFill="1" applyBorder="1"/>
    <xf numFmtId="44" fontId="5" fillId="0" borderId="11" xfId="0" applyNumberFormat="1" applyFont="1" applyFill="1" applyBorder="1"/>
    <xf numFmtId="171" fontId="26" fillId="0" borderId="0" xfId="0" applyNumberFormat="1" applyFont="1" applyFill="1" applyBorder="1"/>
    <xf numFmtId="0" fontId="5" fillId="0" borderId="5" xfId="0" applyFont="1" applyFill="1" applyBorder="1"/>
    <xf numFmtId="10" fontId="1" fillId="0" borderId="5" xfId="2" applyNumberFormat="1" applyFont="1" applyFill="1" applyBorder="1" applyAlignment="1"/>
    <xf numFmtId="5" fontId="6" fillId="0" borderId="5" xfId="1" applyNumberFormat="1" applyFont="1" applyFill="1" applyBorder="1" applyAlignment="1"/>
    <xf numFmtId="0" fontId="2" fillId="0" borderId="6" xfId="0" applyFont="1" applyFill="1" applyBorder="1"/>
    <xf numFmtId="10" fontId="0" fillId="0" borderId="7" xfId="0" applyNumberFormat="1" applyFill="1" applyBorder="1"/>
    <xf numFmtId="0" fontId="5" fillId="0" borderId="5" xfId="0" applyFont="1" applyFill="1" applyBorder="1" applyAlignment="1">
      <alignment wrapText="1"/>
    </xf>
    <xf numFmtId="5" fontId="6" fillId="0" borderId="5" xfId="1" applyNumberFormat="1" applyFont="1" applyFill="1" applyBorder="1"/>
    <xf numFmtId="0" fontId="2" fillId="0" borderId="0" xfId="0" applyFont="1" applyFill="1" applyAlignment="1"/>
    <xf numFmtId="0" fontId="3" fillId="0" borderId="0" xfId="0" applyFont="1" applyFill="1"/>
    <xf numFmtId="0" fontId="10" fillId="0" borderId="6" xfId="0" applyFont="1" applyFill="1" applyBorder="1"/>
    <xf numFmtId="0" fontId="0" fillId="0" borderId="0" xfId="0" applyFill="1" applyAlignment="1">
      <alignment wrapText="1"/>
    </xf>
    <xf numFmtId="5" fontId="2" fillId="0" borderId="0" xfId="0" applyNumberFormat="1" applyFont="1" applyFill="1"/>
    <xf numFmtId="5" fontId="4" fillId="0" borderId="0" xfId="0" applyNumberFormat="1" applyFont="1" applyFill="1"/>
    <xf numFmtId="5" fontId="0" fillId="0" borderId="0" xfId="0" applyNumberFormat="1" applyFill="1" applyAlignment="1">
      <alignment horizontal="right"/>
    </xf>
    <xf numFmtId="0" fontId="0" fillId="0" borderId="5" xfId="0" applyNumberFormat="1" applyFill="1" applyBorder="1"/>
    <xf numFmtId="8" fontId="0" fillId="0" borderId="0" xfId="0" applyNumberFormat="1" applyBorder="1"/>
    <xf numFmtId="8" fontId="0" fillId="0" borderId="8" xfId="0" applyNumberFormat="1" applyBorder="1"/>
    <xf numFmtId="8" fontId="0" fillId="0" borderId="2" xfId="0" applyNumberFormat="1" applyBorder="1"/>
    <xf numFmtId="0" fontId="2" fillId="0" borderId="12" xfId="0" applyFont="1" applyFill="1" applyBorder="1" applyAlignment="1">
      <alignment horizontal="center"/>
    </xf>
    <xf numFmtId="0" fontId="2" fillId="0" borderId="12" xfId="0" applyFont="1" applyFill="1" applyBorder="1"/>
    <xf numFmtId="0" fontId="0" fillId="0" borderId="12" xfId="0" applyFill="1" applyBorder="1"/>
    <xf numFmtId="43" fontId="22" fillId="0" borderId="0" xfId="4" applyNumberFormat="1" applyFont="1" applyBorder="1" applyAlignment="1">
      <alignment horizontal="center" vertical="center"/>
    </xf>
    <xf numFmtId="43" fontId="0" fillId="0" borderId="0" xfId="4" applyNumberFormat="1" applyFont="1" applyAlignment="1">
      <alignment horizontal="center" vertical="center"/>
    </xf>
    <xf numFmtId="7" fontId="0" fillId="0" borderId="0" xfId="0" applyNumberFormat="1"/>
    <xf numFmtId="0" fontId="28" fillId="0" borderId="0" xfId="0" applyFont="1" applyAlignment="1">
      <alignment vertical="top"/>
    </xf>
    <xf numFmtId="0" fontId="28" fillId="0" borderId="0" xfId="0" applyFont="1" applyAlignment="1">
      <alignment horizontal="left" vertical="top"/>
    </xf>
    <xf numFmtId="0" fontId="2" fillId="2" borderId="1" xfId="0" applyFont="1" applyFill="1" applyBorder="1" applyAlignment="1">
      <alignment horizontal="center"/>
    </xf>
    <xf numFmtId="0" fontId="2" fillId="2" borderId="3" xfId="0" applyFont="1" applyFill="1" applyBorder="1" applyAlignment="1">
      <alignment horizontal="center"/>
    </xf>
    <xf numFmtId="0" fontId="9" fillId="2" borderId="1" xfId="0" applyFont="1" applyFill="1" applyBorder="1" applyAlignment="1">
      <alignment horizontal="center"/>
    </xf>
    <xf numFmtId="0" fontId="9" fillId="2" borderId="3" xfId="0" applyFont="1" applyFill="1" applyBorder="1" applyAlignment="1">
      <alignment horizontal="center"/>
    </xf>
    <xf numFmtId="0" fontId="4" fillId="0" borderId="1" xfId="0" applyFont="1" applyFill="1" applyBorder="1" applyAlignment="1">
      <alignment horizontal="center"/>
    </xf>
    <xf numFmtId="0" fontId="4" fillId="0" borderId="3" xfId="0" applyFont="1" applyFill="1" applyBorder="1" applyAlignment="1">
      <alignment horizontal="center"/>
    </xf>
    <xf numFmtId="0" fontId="30" fillId="0" borderId="1" xfId="0" applyFont="1" applyFill="1" applyBorder="1" applyAlignment="1">
      <alignment horizontal="center"/>
    </xf>
    <xf numFmtId="0" fontId="30" fillId="0" borderId="3" xfId="0" applyFont="1" applyFill="1" applyBorder="1" applyAlignment="1">
      <alignment horizontal="center"/>
    </xf>
    <xf numFmtId="0" fontId="2" fillId="4" borderId="10" xfId="0" applyFont="1" applyFill="1" applyBorder="1" applyAlignment="1">
      <alignment horizontal="center"/>
    </xf>
    <xf numFmtId="0" fontId="2" fillId="4" borderId="9" xfId="0" applyFont="1" applyFill="1" applyBorder="1" applyAlignment="1">
      <alignment horizontal="center"/>
    </xf>
    <xf numFmtId="0" fontId="2" fillId="4" borderId="11" xfId="0" applyFont="1" applyFill="1" applyBorder="1" applyAlignment="1">
      <alignment horizontal="center"/>
    </xf>
    <xf numFmtId="0" fontId="2" fillId="4" borderId="4" xfId="0" applyFont="1" applyFill="1" applyBorder="1" applyAlignment="1">
      <alignment horizontal="center"/>
    </xf>
    <xf numFmtId="0" fontId="2" fillId="4" borderId="0" xfId="0" applyFont="1" applyFill="1" applyBorder="1" applyAlignment="1">
      <alignment horizontal="center"/>
    </xf>
    <xf numFmtId="0" fontId="2" fillId="4" borderId="5" xfId="0" applyFont="1" applyFill="1" applyBorder="1" applyAlignment="1">
      <alignment horizontal="center"/>
    </xf>
    <xf numFmtId="0" fontId="16" fillId="3" borderId="1" xfId="0" applyFont="1" applyFill="1" applyBorder="1" applyAlignment="1">
      <alignment horizontal="center"/>
    </xf>
    <xf numFmtId="0" fontId="16" fillId="3" borderId="2" xfId="0" applyFont="1" applyFill="1" applyBorder="1" applyAlignment="1">
      <alignment horizontal="center"/>
    </xf>
    <xf numFmtId="0" fontId="16" fillId="3" borderId="3" xfId="0" applyFont="1" applyFill="1" applyBorder="1" applyAlignment="1">
      <alignment horizontal="center"/>
    </xf>
    <xf numFmtId="0" fontId="2" fillId="4" borderId="15"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0" xfId="0" applyFont="1" applyAlignment="1">
      <alignment horizontal="center" wrapText="1"/>
    </xf>
    <xf numFmtId="0" fontId="2" fillId="0" borderId="5" xfId="0" applyFont="1" applyBorder="1" applyAlignment="1">
      <alignment horizontal="center" wrapText="1"/>
    </xf>
    <xf numFmtId="0" fontId="2" fillId="4" borderId="0" xfId="0" applyFont="1" applyFill="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8" fillId="0" borderId="1" xfId="0" applyFont="1"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4" fillId="0" borderId="2" xfId="0" applyFont="1" applyFill="1" applyBorder="1" applyAlignment="1">
      <alignment horizontal="center"/>
    </xf>
    <xf numFmtId="0" fontId="8"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cellXfs>
  <cellStyles count="6">
    <cellStyle name="Comma" xfId="1" builtinId="3"/>
    <cellStyle name="Currency" xfId="4" builtinId="4"/>
    <cellStyle name="Currency 2" xfId="3" xr:uid="{71E59037-E149-3C41-AABC-7C2D4B2073C2}"/>
    <cellStyle name="Hyperlink" xfId="5" builtinId="8"/>
    <cellStyle name="Normal" xfId="0" builtinId="0"/>
    <cellStyle name="Percent" xfId="2" builtinId="5"/>
  </cellStyles>
  <dxfs count="84">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12" defaultTableStyle="TableStyleMedium2" defaultPivotStyle="PivotStyleLight16">
    <tableStyle name="TableStyleMedium2 10" pivot="0" count="7" xr9:uid="{E2FC301D-83EB-F143-B68F-7C86709EDBAB}">
      <tableStyleElement type="wholeTable" dxfId="83"/>
      <tableStyleElement type="headerRow" dxfId="82"/>
      <tableStyleElement type="totalRow" dxfId="81"/>
      <tableStyleElement type="firstColumn" dxfId="80"/>
      <tableStyleElement type="lastColumn" dxfId="79"/>
      <tableStyleElement type="firstRowStripe" dxfId="78"/>
      <tableStyleElement type="firstColumnStripe" dxfId="77"/>
    </tableStyle>
    <tableStyle name="TableStyleMedium2 11" pivot="0" count="7" xr9:uid="{BAD63106-0F13-F940-9801-1493FDF70F9D}">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 name="TableStyleMedium2 12" pivot="0" count="7" xr9:uid="{FD9B570F-62F3-8649-8520-7B8A21409461}">
      <tableStyleElement type="wholeTable" dxfId="69"/>
      <tableStyleElement type="headerRow" dxfId="68"/>
      <tableStyleElement type="totalRow" dxfId="67"/>
      <tableStyleElement type="firstColumn" dxfId="66"/>
      <tableStyleElement type="lastColumn" dxfId="65"/>
      <tableStyleElement type="firstRowStripe" dxfId="64"/>
      <tableStyleElement type="firstColumnStripe" dxfId="63"/>
    </tableStyle>
    <tableStyle name="TableStyleMedium2 13" pivot="0" count="7" xr9:uid="{C03C721A-DAA4-A141-8396-D692FFDFA3A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2 2" pivot="0" count="7" xr9:uid="{F24AA244-ACCA-2846-847B-562888E6C35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ableStyleMedium2 3" pivot="0" count="7" xr9:uid="{2F1B48AF-E6CF-E744-B327-1E4D9AD8276B}">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 name="TableStyleMedium2 4" pivot="0" count="7" xr9:uid="{E4A1B6A6-534A-A245-B5E0-7BC7B25D1C73}">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 name="TableStyleMedium2 5" pivot="0" count="7" xr9:uid="{9C7AFEBF-6E94-8045-9134-280182C80749}">
      <tableStyleElement type="wholeTable" dxfId="34"/>
      <tableStyleElement type="headerRow" dxfId="33"/>
      <tableStyleElement type="totalRow" dxfId="32"/>
      <tableStyleElement type="firstColumn" dxfId="31"/>
      <tableStyleElement type="lastColumn" dxfId="30"/>
      <tableStyleElement type="firstRowStripe" dxfId="29"/>
      <tableStyleElement type="firstColumnStripe" dxfId="28"/>
    </tableStyle>
    <tableStyle name="TableStyleMedium2 6" pivot="0" count="7" xr9:uid="{A9E859A2-71C9-E949-B138-34F28B38A8AA}">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TableStyleMedium2 7" pivot="0" count="7" xr9:uid="{9B1A4459-575D-A644-8783-024C7D85676C}">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TableStyleMedium2 8" pivot="0" count="7" xr9:uid="{3660B64E-17BD-1544-AADB-93AAB1AB67F2}">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9" pivot="0" count="7" xr9:uid="{4511AB96-8BD8-3344-A08D-E2B1D88592A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A769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in, Joyce" id="{88C4F5B8-4D31-7144-91E8-155B3AECF9DB}" userId="S::jjlin@wm.edu::3df6aa9d-6b4d-4351-ad3b-bef9df13ece3" providerId="AD"/>
  <person displayName="Parks, Brad C" id="{A289CB3F-C967-164F-8A72-4FB0F879CFAA}" userId="S::bcpark@wm.edu::fbb94794-a219-4025-a820-72fc8910ce82" providerId="AD"/>
  <person displayName="Alysha Gardner" id="{21EF9214-E64C-1F47-ADC9-3BB20331033A}" userId="S::acarro22@jh.edu::dfbca578-b1b2-41fc-a888-0dce327b9e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3" dT="2020-06-24T18:26:24.30" personId="{21EF9214-E64C-1F47-ADC9-3BB20331033A}" id="{8BE10CE5-3863-AB47-BF37-8BB6C8080A40}">
    <text xml:space="preserve">Weighted average grant element (by original loan values)
</text>
  </threadedComment>
  <threadedComment ref="J13" dT="2020-06-24T18:26:32.61" personId="{21EF9214-E64C-1F47-ADC9-3BB20331033A}" id="{AC6AFBCB-F614-5A42-9FCF-E25300BBB5A5}">
    <text>Weighted average grant element (by original loan values)</text>
  </threadedComment>
  <threadedComment ref="I28" dT="2020-06-24T18:29:30.07" personId="{21EF9214-E64C-1F47-ADC9-3BB20331033A}" id="{47A31BF6-DD61-5B49-9107-A776272E246F}">
    <text>Weighted average grant element (by original loan values)</text>
  </threadedComment>
  <threadedComment ref="J28" dT="2020-06-24T18:29:38.48" personId="{21EF9214-E64C-1F47-ADC9-3BB20331033A}" id="{004162AF-97C2-9546-85BB-02B922E20457}">
    <text>Weighted average grant element (by original loan values)</text>
  </threadedComment>
  <threadedComment ref="I46" dT="2020-06-24T18:29:30.07" personId="{21EF9214-E64C-1F47-ADC9-3BB20331033A}" id="{DD1AEE16-7A8B-9946-AF3E-1D33D7DEE695}">
    <text>Weighted average grant element (by original loan values)</text>
  </threadedComment>
  <threadedComment ref="J46" dT="2020-06-24T18:29:38.48" personId="{21EF9214-E64C-1F47-ADC9-3BB20331033A}" id="{B709B381-2378-BE4D-A44E-725E0BA33F79}">
    <text>Weighted average grant element (by original loan values)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0-08-01T22:03:51.08" personId="{88C4F5B8-4D31-7144-91E8-155B3AECF9DB}" id="{4212875F-A257-4FF4-836C-E8D3E79668BF}">
    <text xml:space="preserve">LCU Per US$, average of 2019. Taken from https://data.worldbank.org/indicator/PA.NUS.FCRF </text>
  </threadedComment>
  <threadedComment ref="J20" dT="2020-06-24T18:26:24.30" personId="{21EF9214-E64C-1F47-ADC9-3BB20331033A}" id="{C65DF2EF-E410-4C48-BA6E-5D6C7828134C}">
    <text xml:space="preserve">Weighted average grant element (by original loan values)
</text>
  </threadedComment>
  <threadedComment ref="K20" dT="2020-06-24T18:26:32.61" personId="{21EF9214-E64C-1F47-ADC9-3BB20331033A}" id="{47671E3B-49D9-4C94-BA39-A7CBDAADB7BC}">
    <text>Weighted average grant element (by original loan values)</text>
  </threadedComment>
  <threadedComment ref="J35" dT="2020-06-24T18:29:30.07" personId="{21EF9214-E64C-1F47-ADC9-3BB20331033A}" id="{8741AEFD-0E5B-4F4A-86DF-902E8382054C}">
    <text>Weighted average grant element (by original loan values)</text>
  </threadedComment>
  <threadedComment ref="K35" dT="2020-06-24T18:29:38.48" personId="{21EF9214-E64C-1F47-ADC9-3BB20331033A}" id="{D85D8685-F3F0-4E56-A5F1-B7DF86399550}">
    <text>Weighted average grant element (by original loan values)</text>
  </threadedComment>
  <threadedComment ref="J53" dT="2020-06-24T18:29:30.07" personId="{21EF9214-E64C-1F47-ADC9-3BB20331033A}" id="{D05A888E-57CE-4AA2-98B8-5FE5F385B64A}">
    <text>Weighted average grant element (by original loan values)</text>
  </threadedComment>
  <threadedComment ref="K53" dT="2020-06-24T18:29:38.48" personId="{21EF9214-E64C-1F47-ADC9-3BB20331033A}" id="{04559E0A-1D50-40F4-A959-70C2A772D3CC}">
    <text>Weighted average grant element (by original loan values)</text>
  </threadedComment>
</ThreadedComments>
</file>

<file path=xl/threadedComments/threadedComment3.xml><?xml version="1.0" encoding="utf-8"?>
<ThreadedComments xmlns="http://schemas.microsoft.com/office/spreadsheetml/2018/threadedcomments" xmlns:x="http://schemas.openxmlformats.org/spreadsheetml/2006/main">
  <threadedComment ref="D5" dT="2020-06-04T16:49:10.43" personId="{A289CB3F-C967-164F-8A72-4FB0F879CFAA}" id="{DF6A2881-7BB3-004E-A801-C17224A83363}">
    <text xml:space="preserve">Estimate based on implementation start date of project
</text>
  </threadedComment>
  <threadedComment ref="E5" dT="2020-06-04T17:04:30.59" personId="{A289CB3F-C967-164F-8A72-4FB0F879CFAA}" id="{9A412146-DB97-704B-B668-BCE5796931F1}">
    <text>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ext>
  </threadedComment>
  <threadedComment ref="G5" dT="2020-06-04T17:02:48.49" personId="{A289CB3F-C967-164F-8A72-4FB0F879CFAA}" id="{E87412DF-B14D-5E40-AA18-C57959A38E22}">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5" dT="2020-06-04T17:13:26.04" personId="{A289CB3F-C967-164F-8A72-4FB0F879CFAA}" id="{B1A4E57E-7A44-2140-BE33-F384FDB243A0}">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D6" dT="2020-06-04T16:49:10.43" personId="{A289CB3F-C967-164F-8A72-4FB0F879CFAA}" id="{E9DB6307-5E5B-4E4C-915F-52D2DE71A1DB}">
    <text xml:space="preserve">Estimate based on implementation start date of project
</text>
  </threadedComment>
  <threadedComment ref="E6" dT="2020-06-04T17:04:30.59" personId="{A289CB3F-C967-164F-8A72-4FB0F879CFAA}" id="{8AEFF53A-84D1-F64B-A349-8D0479900A7E}">
    <text>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ext>
  </threadedComment>
  <threadedComment ref="G6" dT="2020-06-04T17:02:48.49" personId="{A289CB3F-C967-164F-8A72-4FB0F879CFAA}" id="{F16CD2DE-D3A4-F942-A0E4-BEAD94C89B7B}">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6" dT="2020-06-04T17:13:26.04" personId="{A289CB3F-C967-164F-8A72-4FB0F879CFAA}" id="{19591C8F-7047-1F48-BCB0-82FD535EFBB5}">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M7" dT="2020-06-04T17:12:24.00" personId="{A289CB3F-C967-164F-8A72-4FB0F879CFAA}" id="{D3D18F18-A4A1-A648-A4CF-C3E72DA9A037}">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G8" dT="2020-06-04T17:02:48.49" personId="{A289CB3F-C967-164F-8A72-4FB0F879CFAA}" id="{4F8B66E6-594D-0C4F-AC79-223238177289}">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8" dT="2020-06-04T17:12:29.75" personId="{A289CB3F-C967-164F-8A72-4FB0F879CFAA}" id="{D3A8B937-93CB-9B44-A092-A39A4B94D5BF}">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G9" dT="2020-06-04T17:02:48.49" personId="{A289CB3F-C967-164F-8A72-4FB0F879CFAA}" id="{6BC50A1F-CBCE-F14C-BDFD-2F4E8927FD5E}">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9" dT="2020-06-04T17:12:46.96" personId="{A289CB3F-C967-164F-8A72-4FB0F879CFAA}" id="{BB443B1C-B78C-4D47-B9E4-E211DBFC8C98}">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G10" dT="2020-06-04T17:02:48.49" personId="{A289CB3F-C967-164F-8A72-4FB0F879CFAA}" id="{032F141B-20C9-3542-8571-0607E471B5D2}">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10" dT="2020-06-04T17:12:52.82" personId="{A289CB3F-C967-164F-8A72-4FB0F879CFAA}" id="{D310833D-9EB9-FB40-903D-A4E2DE760416}">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E11" dT="2020-06-04T17:04:30.59" personId="{A289CB3F-C967-164F-8A72-4FB0F879CFAA}" id="{ABB991DF-23EA-E04B-9E8D-40ECC1839DF7}">
    <text>Congo’s Ministry of Finance reports that all 8 of the China Eximbank loans that were subject to the April 2019 restructuring agreements had maturities between 13 years and 20 years. The actual maturity of this loan is missing, so we impute a value (16.5 years) at the middle of the distribution of this range as an approximation. See https://www.dropbox.com/s/4jxbge4bm2q683p/N%C2%B023%20RAPPORT%20SUR%20L%27ACCORD%20COMPLEMENTAIRE%20SUR%20LA%20RESTRUCTURATION%20DE%20LA%20DETTE%20ENVERS%20LA%20CHINE%20%281%29%20N%C2%B023.pdf?dl=0</text>
  </threadedComment>
  <threadedComment ref="G11" dT="2020-06-04T17:02:48.49" personId="{A289CB3F-C967-164F-8A72-4FB0F879CFAA}" id="{BED3CB53-C3F0-624A-A164-9A52CD1E7D07}">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11" dT="2020-06-04T17:13:26.04" personId="{A289CB3F-C967-164F-8A72-4FB0F879CFAA}" id="{78107A4E-D464-364D-9E21-8484DE1CF57C}">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G12" dT="2020-06-04T17:02:48.49" personId="{A289CB3F-C967-164F-8A72-4FB0F879CFAA}" id="{B88366CE-EEDB-1543-823D-E74919592AFF}">
    <text xml:space="preserve">Congo’s Ministry of Finance reports that all 8 of the China Eximbank loans that were subject to the April 2019 restructuring agreements had grace periods between 3 and 5 years. The actual grace period of this loan is unknown, so we impute a value (4 years) at the middle of the distribution of this range as an approximation. See https://www.dropbox.com/s/4jxbge4bm2q683p/N%C2%B023%20RAPPORT%20SUR%20L%27ACCORD%20COMPLEMENTAIRE%20SUR%20LA%20RESTRUCTURATION%20DE%20LA%20DETTE%20ENVERS%20LA%20CHINE%20%281%29%20N%C2%B023.pdf?dl=0
</text>
  </threadedComment>
  <threadedComment ref="M12" dT="2020-06-04T17:13:00.56" personId="{A289CB3F-C967-164F-8A72-4FB0F879CFAA}" id="{12C95E21-90D1-E149-85A0-E2B7ED9AFA61}">
    <text>Congo’s Ministry of Finance has reported that the maturity of the original loan was extended by 15 years. See https://www.dropbox.com/s/4jxbge4bm2q683p/N%C2%B023%20RAPPORT%20SUR%20L%27ACCORD%20COMPLEMENTAIRE%20SUR%20LA%20RESTRUCTURATION%20DE%20LA%20DETTE%20ENVERS%20LA%20CHINE%20%281%29%20N%C2%B023.pdf?dl=0</text>
  </threadedComment>
  <threadedComment ref="L13" dT="2020-06-23T20:14:06.28" personId="{21EF9214-E64C-1F47-ADC9-3BB20331033A}" id="{B10217BA-0542-DF43-9227-6983070F2F0B}">
    <text>Total, given estimated payment schedules</text>
  </threadedComment>
  <threadedComment ref="L14" dT="2020-06-23T20:14:43.54" personId="{21EF9214-E64C-1F47-ADC9-3BB20331033A}" id="{1F837CD6-09D0-F242-A5C9-B0A2AB8B3E4B}">
    <text>Total paid prior to April 2019, from official sources (lump sum, not assigned by project)</text>
  </threadedComment>
  <threadedComment ref="M16" dT="2020-06-24T15:21:16.25" personId="{21EF9214-E64C-1F47-ADC9-3BB20331033A}" id="{2E4DCB5D-880B-0449-B1B1-59458E39AB8C}">
    <text xml:space="preserve">“Maturity reset at 20 years” at the time of the rescheduling, so maturity is 20 years + 13 years that have passed since the start of the original agreement
</text>
  </threadedComment>
  <threadedComment ref="O16" dT="2020-06-24T15:21:51.99" personId="{21EF9214-E64C-1F47-ADC9-3BB20331033A}" id="{0883B2E3-4E9B-EA4C-978C-9BCCD640C1C9}">
    <text xml:space="preserve">“Grace period 3.5 additional years” </text>
  </threadedComment>
  <threadedComment ref="M21" dT="2020-09-18T21:04:10.79" personId="{88C4F5B8-4D31-7144-91E8-155B3AECF9DB}" id="{4C60161E-0153-C64E-A176-4E71A0401C08}">
    <text>Extensions of maturity period gotten from the gov’t of Seychelles. Maturity after restructuring is measured between loan signing and year of final repayment after restructuring.</text>
  </threadedComment>
  <threadedComment ref="O21" dT="2020-09-18T20:56:28.81" personId="{88C4F5B8-4D31-7144-91E8-155B3AECF9DB}" id="{EBA0D12A-C65A-CE4E-AA1D-D40F07F261BF}">
    <text xml:space="preserve">Grace period extension data given to us by gov’t of Seychelles. Grace period after restructuring is calculated by adding period between loan signing and restructure date, to any extensions in grace period, for loans with no repayment. </text>
  </threadedComment>
  <threadedComment ref="M22" dT="2020-09-18T21:05:41.16" personId="{88C4F5B8-4D31-7144-91E8-155B3AECF9DB}" id="{FBA0C54B-F954-4D4B-B85B-537882840DE3}">
    <text>Maturity is extended by 16.5 years.</text>
  </threadedComment>
  <threadedComment ref="O22" dT="2020-09-18T20:54:25.44" personId="{88C4F5B8-4D31-7144-91E8-155B3AECF9DB}" id="{A70A9828-4BA8-B342-9728-1BB324CBDA6D}">
    <text>Grace period extended by 12.5 years.</text>
  </threadedComment>
  <threadedComment ref="M23" dT="2020-09-18T21:26:02.89" personId="{88C4F5B8-4D31-7144-91E8-155B3AECF9DB}" id="{49D3D629-FC2F-304A-901F-A2D695AFB217}">
    <text>Maturity extended by 22.5 years</text>
  </threadedComment>
  <threadedComment ref="O23" dT="2020-09-18T20:58:50.44" personId="{88C4F5B8-4D31-7144-91E8-155B3AECF9DB}" id="{E25849BE-1605-6C4B-8217-C02D9F53C407}">
    <text xml:space="preserve">Grace period extended by 16.5 years. </text>
  </threadedComment>
  <threadedComment ref="M24" dT="2020-09-18T21:32:23.64" personId="{88C4F5B8-4D31-7144-91E8-155B3AECF9DB}" id="{EAF14EFA-400F-5143-8FE9-D3B1E2246F4B}">
    <text>Maturity extended by 15 years.</text>
  </threadedComment>
  <threadedComment ref="O24" dT="2020-09-18T21:33:06.03" personId="{88C4F5B8-4D31-7144-91E8-155B3AECF9DB}" id="{AF4E3031-1CD5-D541-883B-E89F9E517A96}">
    <text>Grace period extended by 11 years.</text>
  </threadedComment>
  <threadedComment ref="M27" dT="2020-07-31T15:31:11.22" personId="{88C4F5B8-4D31-7144-91E8-155B3AECF9DB}" id="{E9A3A91C-2937-6C44-91D9-6ED8C5BAD02E}">
    <text>Maturity of the loan was extended by 10 years</text>
  </threadedComment>
  <threadedComment ref="M28" dT="2020-07-31T15:31:54.95" personId="{88C4F5B8-4D31-7144-91E8-155B3AECF9DB}" id="{CB85032A-0C21-7240-BA72-1B71A3680C7B}">
    <text xml:space="preserve">Maturity of the loan was extended by 16 years. </text>
  </threadedComment>
  <threadedComment ref="O28" dT="2020-07-31T15:44:45.87" personId="{88C4F5B8-4D31-7144-91E8-155B3AECF9DB}" id="{34DA5B0A-8E96-7F4D-AA86-8570C45A57A1}">
    <text>Grace period of loan extended by 3 years.</text>
  </threadedComment>
  <threadedComment ref="M29" dT="2020-07-31T15:32:31.16" personId="{88C4F5B8-4D31-7144-91E8-155B3AECF9DB}" id="{E1B58D2A-9B7C-044E-BC17-D130C9CC2906}">
    <text>Maturity of the loan was extended by 16 years.</text>
  </threadedComment>
  <threadedComment ref="O29" dT="2020-07-31T15:44:56.14" personId="{88C4F5B8-4D31-7144-91E8-155B3AECF9DB}" id="{04BEE3CB-68A4-D44E-95E9-48F6DE8876F1}">
    <text>Grace period of loan extended by 3 years.</text>
  </threadedComment>
  <threadedComment ref="M30" dT="2020-07-31T15:34:33.71" personId="{88C4F5B8-4D31-7144-91E8-155B3AECF9DB}" id="{7EB020C9-4D44-EB43-9590-B2264037C975}">
    <text xml:space="preserve">Maturity of the loan was extended by 18 years. </text>
  </threadedComment>
  <threadedComment ref="M31" dT="2020-07-31T15:34:38.59" personId="{88C4F5B8-4D31-7144-91E8-155B3AECF9DB}" id="{F810A8DD-9DCF-1345-8CE8-12E96C7EBEB3}">
    <text>Maturity of the loan was extended by 18 years.</text>
  </threadedComment>
  <threadedComment ref="M32" dT="2020-07-31T15:35:18.87" personId="{88C4F5B8-4D31-7144-91E8-155B3AECF9DB}" id="{ED8D1E50-192D-764A-9E59-B73692E86AB6}">
    <text>Maturity of the loan was extended by 50 years.</text>
  </threadedComment>
  <threadedComment ref="O32" dT="2020-07-31T15:48:52.47" personId="{88C4F5B8-4D31-7144-91E8-155B3AECF9DB}" id="{7B01BE6C-0837-A541-B874-79005B98511E}">
    <text>Grace period of loan extended by 16 years.</text>
  </threadedComment>
  <threadedComment ref="M33" dT="2020-07-31T15:36:06.64" personId="{88C4F5B8-4D31-7144-91E8-155B3AECF9DB}" id="{B6541EFA-D318-6B4A-A092-792E7ED61E11}">
    <text>Maturity of the loan was extended by 18 years.</text>
  </threadedComment>
  <threadedComment ref="O33" dT="2020-07-31T15:49:10.91" personId="{88C4F5B8-4D31-7144-91E8-155B3AECF9DB}" id="{E3A9A95B-4D23-6842-9708-4A0DEDBAB55E}">
    <text>Grace period of loan extended by 4.5 years.</text>
  </threadedComment>
  <threadedComment ref="F34" dT="2020-07-31T15:13:47.32" personId="{88C4F5B8-4D31-7144-91E8-155B3AECF9DB}" id="{B4010297-6F8D-F14C-9FD6-F9B7F103E886}">
    <text>This loan consist of several loan from kuwait fund that was merge in to one loan after retructuing. No interest was charged.</text>
  </threadedComment>
  <threadedComment ref="M34" dT="2020-07-31T15:41:37.56" personId="{88C4F5B8-4D31-7144-91E8-155B3AECF9DB}" id="{1D55CC02-302E-184F-BED6-5AAAB13C0175}">
    <text>Maturity of the loan was extended by 10 years.</text>
  </threadedComment>
  <threadedComment ref="M35" dT="2020-07-31T15:41:59.96" personId="{88C4F5B8-4D31-7144-91E8-155B3AECF9DB}" id="{A8BCF104-75C5-D148-A1B8-0E5CD657B0D4}">
    <text>Maturity of the loan was extended by 18 years.</text>
  </threadedComment>
  <threadedComment ref="O35" dT="2020-07-31T15:49:58.83" personId="{88C4F5B8-4D31-7144-91E8-155B3AECF9DB}" id="{9AADA885-6AC9-E143-8F2E-A512251A0217}">
    <text>Grace period of loan extended by 5 years.</text>
  </threadedComment>
  <threadedComment ref="M36" dT="2020-07-31T15:42:17.67" personId="{88C4F5B8-4D31-7144-91E8-155B3AECF9DB}" id="{CC322FDE-A278-D642-BEC1-832BF71BA132}">
    <text>Maturity of the loan was extended by 18 years.</text>
  </threadedComment>
  <threadedComment ref="O36" dT="2020-07-31T15:50:28.65" personId="{88C4F5B8-4D31-7144-91E8-155B3AECF9DB}" id="{44A83FB4-D671-EF49-9D58-6C3A201740A2}">
    <text>Grace period of loan extended by 5 years.</text>
  </threadedComment>
  <threadedComment ref="M37" dT="2020-07-31T15:42:43.28" personId="{88C4F5B8-4D31-7144-91E8-155B3AECF9DB}" id="{EF983DBD-9AF1-B14D-87CB-8071705C6B43}">
    <text>Maturity of the loan was extended by 18 years.</text>
  </threadedComment>
  <threadedComment ref="O37" dT="2020-07-31T15:56:54.25" personId="{88C4F5B8-4D31-7144-91E8-155B3AECF9DB}" id="{922F9BB7-4EE5-E348-AA40-984D4D4AC213}">
    <text>Grace period of loan extended by 5 years.</text>
  </threadedComment>
  <threadedComment ref="M38" dT="2020-07-31T15:43:03.97" personId="{88C4F5B8-4D31-7144-91E8-155B3AECF9DB}" id="{1A6A0F46-54E8-CD46-B964-C44BF37A61E6}">
    <text>Maturity of the loan was extended by 18 years.</text>
  </threadedComment>
  <threadedComment ref="O38" dT="2020-07-31T15:57:30.61" personId="{88C4F5B8-4D31-7144-91E8-155B3AECF9DB}" id="{10B8C6D9-1DA8-EA42-8228-8FBB8CD9C0F1}">
    <text>Grace period of loan extended by 5 years.</text>
  </threadedComment>
</ThreadedComments>
</file>

<file path=xl/threadedComments/threadedComment4.xml><?xml version="1.0" encoding="utf-8"?>
<ThreadedComments xmlns="http://schemas.microsoft.com/office/spreadsheetml/2018/threadedcomments" xmlns:x="http://schemas.openxmlformats.org/spreadsheetml/2006/main">
  <threadedComment ref="C42" dT="2020-06-22T20:52:44.84" personId="{21EF9214-E64C-1F47-ADC9-3BB20331033A}" id="{69479A2B-377D-D44C-A105-5342FD909236}">
    <text xml:space="preserve">Despite the “grace period”, this section takes the known principal payments (3,181,650) and divides them up evenly across payment periods prior to the 2011 restructure.
</text>
  </threadedComment>
</ThreadedComments>
</file>

<file path=xl/threadedComments/threadedComment5.xml><?xml version="1.0" encoding="utf-8"?>
<ThreadedComments xmlns="http://schemas.microsoft.com/office/spreadsheetml/2018/threadedcomments" xmlns:x="http://schemas.openxmlformats.org/spreadsheetml/2006/main">
  <threadedComment ref="D69" dT="2020-08-01T16:28:12.78" personId="{88C4F5B8-4D31-7144-91E8-155B3AECF9DB}" id="{4255B0A8-C4BC-144E-956D-90579EC94B81}">
    <text>Provided by the Seychelles Government.</text>
  </threadedComment>
  <threadedComment ref="D91" dT="2020-07-31T22:07:54.20" personId="{88C4F5B8-4D31-7144-91E8-155B3AECF9DB}" id="{30678506-8214-7E4F-9D88-D04CE3BF39E8}">
    <text>Provided by the Seychelles Government</text>
  </threadedComment>
</ThreadedComments>
</file>

<file path=xl/threadedComments/threadedComment6.xml><?xml version="1.0" encoding="utf-8"?>
<ThreadedComments xmlns="http://schemas.microsoft.com/office/spreadsheetml/2018/threadedcomments" xmlns:x="http://schemas.openxmlformats.org/spreadsheetml/2006/main">
  <threadedComment ref="D20" dT="2020-08-01T16:28:23.97" personId="{88C4F5B8-4D31-7144-91E8-155B3AECF9DB}" id="{E42F339A-163B-DB46-8F5C-7494B595E9D5}">
    <text>Provided by the Seychelles Government.</text>
  </threadedComment>
  <threadedComment ref="D78" dT="2020-08-01T16:28:33.69" personId="{88C4F5B8-4D31-7144-91E8-155B3AECF9DB}" id="{E2A11E89-D7F2-544E-92E9-CA4673FC2E11}">
    <text>Provided by the Seychelles Government.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cd.org/trade/topics/export-credits/arrangement-and-sector-understandings/financing-terms-and-conditions/" TargetMode="External"/><Relationship Id="rId1" Type="http://schemas.openxmlformats.org/officeDocument/2006/relationships/hyperlink" Target="https://ida.worldbank.org/sites/default/files/pdfs/grant_element_calculation_formula_2013.pdf." TargetMode="Externa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microsoft.com/office/2017/10/relationships/threadedComment" Target="../threadedComments/threadedComment5.x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3.xml.rels><?xml version="1.0" encoding="UTF-8" standalone="yes"?>
<Relationships xmlns="http://schemas.openxmlformats.org/package/2006/relationships"><Relationship Id="rId3" Type="http://schemas.openxmlformats.org/officeDocument/2006/relationships/hyperlink" Target="https://ida.worldbank.org/sites/default/files/pdfs/grant_element_calculation_formula_2013.pdf" TargetMode="External"/><Relationship Id="rId2" Type="http://schemas.openxmlformats.org/officeDocument/2006/relationships/hyperlink" Target="https://ida.worldbank.org/sites/default/files/pdfs/grant_element_calculation_formula_2013.pdf" TargetMode="External"/><Relationship Id="rId1" Type="http://schemas.openxmlformats.org/officeDocument/2006/relationships/hyperlink" Target="https://ida.worldbank.org/sites/default/files/pdfs/grant_element_calculation_formula_2013.pdf" TargetMode="External"/><Relationship Id="rId6" Type="http://schemas.openxmlformats.org/officeDocument/2006/relationships/hyperlink" Target="https://ida.worldbank.org/sites/default/files/pdfs/grant_element_calculation_formula_2013.pdf" TargetMode="External"/><Relationship Id="rId5" Type="http://schemas.openxmlformats.org/officeDocument/2006/relationships/hyperlink" Target="https://ida.worldbank.org/sites/default/files/pdfs/grant_element_calculation_formula_2013.pdf" TargetMode="External"/><Relationship Id="rId4" Type="http://schemas.openxmlformats.org/officeDocument/2006/relationships/hyperlink" Target="https://ida.worldbank.org/sites/default/files/pdfs/grant_element_calculation_formula_2013.pdf"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0104-D36E-4854-9B12-F3178AC409B5}">
  <sheetPr>
    <tabColor rgb="FFFF0000"/>
  </sheetPr>
  <dimension ref="A1:I75"/>
  <sheetViews>
    <sheetView tabSelected="1" zoomScale="70" zoomScaleNormal="70" workbookViewId="0">
      <selection activeCell="B42" sqref="B42"/>
    </sheetView>
  </sheetViews>
  <sheetFormatPr defaultColWidth="8.796875" defaultRowHeight="15.6"/>
  <cols>
    <col min="1" max="1" width="24.19921875" customWidth="1"/>
    <col min="2" max="2" width="108.69921875" customWidth="1"/>
    <col min="4" max="4" width="24.796875" customWidth="1"/>
    <col min="5" max="5" width="25.796875" customWidth="1"/>
    <col min="6" max="6" width="18.19921875" customWidth="1"/>
    <col min="7" max="7" width="30.296875" customWidth="1"/>
    <col min="8" max="8" width="13.796875" customWidth="1"/>
    <col min="9" max="9" width="17.5" customWidth="1"/>
  </cols>
  <sheetData>
    <row r="1" spans="1:2" ht="21">
      <c r="A1" s="222" t="s">
        <v>254</v>
      </c>
      <c r="B1" s="221"/>
    </row>
    <row r="2" spans="1:2" s="202" customFormat="1" ht="18">
      <c r="A2" s="205" t="s">
        <v>188</v>
      </c>
      <c r="B2" s="203"/>
    </row>
    <row r="3" spans="1:2">
      <c r="B3" s="19" t="s">
        <v>253</v>
      </c>
    </row>
    <row r="4" spans="1:2" ht="249.6">
      <c r="A4" s="197"/>
      <c r="B4" s="204" t="s">
        <v>266</v>
      </c>
    </row>
    <row r="5" spans="1:2" ht="46.8">
      <c r="A5" s="201"/>
      <c r="B5" s="19" t="s">
        <v>246</v>
      </c>
    </row>
    <row r="6" spans="1:2" ht="46.8">
      <c r="A6" s="200"/>
      <c r="B6" s="19" t="s">
        <v>247</v>
      </c>
    </row>
    <row r="7" spans="1:2" ht="46.8">
      <c r="A7" s="198"/>
      <c r="B7" s="19" t="s">
        <v>248</v>
      </c>
    </row>
    <row r="8" spans="1:2" ht="31.2">
      <c r="A8" s="199"/>
      <c r="B8" s="19" t="s">
        <v>255</v>
      </c>
    </row>
    <row r="10" spans="1:2" s="206" customFormat="1" ht="18">
      <c r="A10" s="205" t="s">
        <v>189</v>
      </c>
    </row>
    <row r="11" spans="1:2" ht="25.2" customHeight="1">
      <c r="A11" s="209" t="s">
        <v>192</v>
      </c>
      <c r="B11" s="204" t="s">
        <v>196</v>
      </c>
    </row>
    <row r="12" spans="1:2" ht="21.45" customHeight="1">
      <c r="A12" s="209" t="s">
        <v>31</v>
      </c>
      <c r="B12" s="204" t="s">
        <v>197</v>
      </c>
    </row>
    <row r="13" spans="1:2" s="238" customFormat="1" ht="48.45" customHeight="1">
      <c r="A13" s="209" t="s">
        <v>23</v>
      </c>
      <c r="B13" s="204" t="s">
        <v>239</v>
      </c>
    </row>
    <row r="14" spans="1:2" ht="45.45" customHeight="1">
      <c r="A14" s="209" t="s">
        <v>193</v>
      </c>
      <c r="B14" s="204" t="s">
        <v>249</v>
      </c>
    </row>
    <row r="15" spans="1:2" ht="58.8" customHeight="1">
      <c r="A15" s="209" t="s">
        <v>194</v>
      </c>
      <c r="B15" s="204" t="s">
        <v>250</v>
      </c>
    </row>
    <row r="16" spans="1:2" ht="41.55" customHeight="1">
      <c r="A16" s="209" t="s">
        <v>195</v>
      </c>
      <c r="B16" s="204" t="s">
        <v>198</v>
      </c>
    </row>
    <row r="17" spans="1:5" ht="65.55" customHeight="1">
      <c r="A17" s="319" t="s">
        <v>15</v>
      </c>
      <c r="B17" s="204" t="s">
        <v>222</v>
      </c>
    </row>
    <row r="18" spans="1:5" s="238" customFormat="1" ht="17.55" customHeight="1">
      <c r="A18" s="319"/>
      <c r="B18" s="237" t="s">
        <v>221</v>
      </c>
    </row>
    <row r="19" spans="1:5" ht="123" customHeight="1">
      <c r="A19" s="209" t="s">
        <v>191</v>
      </c>
      <c r="B19" s="204" t="s">
        <v>223</v>
      </c>
    </row>
    <row r="20" spans="1:5" ht="408.45" customHeight="1">
      <c r="A20" s="209" t="s">
        <v>109</v>
      </c>
      <c r="B20" s="204" t="s">
        <v>244</v>
      </c>
    </row>
    <row r="21" spans="1:5">
      <c r="A21" s="320" t="s">
        <v>190</v>
      </c>
      <c r="B21" s="207" t="s">
        <v>199</v>
      </c>
    </row>
    <row r="22" spans="1:5">
      <c r="A22" s="320"/>
      <c r="B22" s="208" t="s">
        <v>200</v>
      </c>
    </row>
    <row r="24" spans="1:5" s="206" customFormat="1" ht="21">
      <c r="A24" s="212" t="s">
        <v>204</v>
      </c>
    </row>
    <row r="25" spans="1:5" ht="18">
      <c r="A25" s="217" t="s">
        <v>256</v>
      </c>
      <c r="B25" s="218"/>
      <c r="C25" s="218"/>
    </row>
    <row r="26" spans="1:5" ht="324">
      <c r="A26" s="213"/>
      <c r="B26" s="216" t="s">
        <v>251</v>
      </c>
    </row>
    <row r="27" spans="1:5" ht="21">
      <c r="A27" s="1"/>
    </row>
    <row r="28" spans="1:5" ht="21">
      <c r="A28" s="325" t="s">
        <v>201</v>
      </c>
      <c r="B28" s="326"/>
      <c r="D28" s="321" t="s">
        <v>2</v>
      </c>
      <c r="E28" s="322"/>
    </row>
    <row r="29" spans="1:5">
      <c r="A29" s="4" t="s">
        <v>3</v>
      </c>
      <c r="B29" s="115">
        <f>Data!D41</f>
        <v>1990</v>
      </c>
      <c r="D29" s="6" t="s">
        <v>4</v>
      </c>
      <c r="E29" s="7">
        <f>B35</f>
        <v>500000</v>
      </c>
    </row>
    <row r="30" spans="1:5">
      <c r="A30" s="4" t="s">
        <v>5</v>
      </c>
      <c r="B30" s="8">
        <v>0.02</v>
      </c>
      <c r="D30" s="6" t="s">
        <v>6</v>
      </c>
      <c r="E30" s="9">
        <v>600000</v>
      </c>
    </row>
    <row r="31" spans="1:5">
      <c r="A31" s="4" t="s">
        <v>7</v>
      </c>
      <c r="B31" s="10">
        <f>Data!G41</f>
        <v>10</v>
      </c>
      <c r="D31" s="11" t="s">
        <v>8</v>
      </c>
      <c r="E31" s="12">
        <v>422000</v>
      </c>
    </row>
    <row r="32" spans="1:5">
      <c r="A32" s="4" t="s">
        <v>9</v>
      </c>
      <c r="B32" s="10">
        <v>20</v>
      </c>
    </row>
    <row r="33" spans="1:9">
      <c r="A33" s="4" t="s">
        <v>10</v>
      </c>
      <c r="B33" s="10">
        <v>2</v>
      </c>
      <c r="D33" s="321" t="s">
        <v>11</v>
      </c>
      <c r="E33" s="322"/>
    </row>
    <row r="34" spans="1:9">
      <c r="A34" s="4" t="s">
        <v>12</v>
      </c>
      <c r="B34" s="10">
        <f>(B32-B31)*2</f>
        <v>20</v>
      </c>
      <c r="D34" s="6" t="s">
        <v>4</v>
      </c>
      <c r="E34" s="7">
        <f>B35</f>
        <v>500000</v>
      </c>
    </row>
    <row r="35" spans="1:9">
      <c r="A35" s="4" t="s">
        <v>79</v>
      </c>
      <c r="B35" s="219">
        <v>500000</v>
      </c>
      <c r="D35" s="6" t="s">
        <v>14</v>
      </c>
      <c r="E35" s="9">
        <f>B45</f>
        <v>400000</v>
      </c>
    </row>
    <row r="36" spans="1:9">
      <c r="A36" s="13" t="s">
        <v>15</v>
      </c>
      <c r="B36" s="195">
        <v>0.03</v>
      </c>
      <c r="D36" s="6" t="s">
        <v>6</v>
      </c>
      <c r="E36" s="9">
        <v>650000</v>
      </c>
    </row>
    <row r="37" spans="1:9">
      <c r="C37" s="16"/>
      <c r="D37" s="11" t="s">
        <v>8</v>
      </c>
      <c r="E37" s="12">
        <v>375000</v>
      </c>
    </row>
    <row r="38" spans="1:9" ht="17.399999999999999">
      <c r="A38" s="327" t="s">
        <v>202</v>
      </c>
      <c r="B38" s="328"/>
      <c r="C38" s="16"/>
      <c r="D38" s="16"/>
    </row>
    <row r="39" spans="1:9">
      <c r="A39" s="4" t="s">
        <v>17</v>
      </c>
      <c r="B39" s="17">
        <f>Data!H41</f>
        <v>2010</v>
      </c>
      <c r="C39" s="16"/>
      <c r="D39" s="323" t="s">
        <v>109</v>
      </c>
      <c r="E39" s="324"/>
      <c r="F39" s="120"/>
    </row>
    <row r="40" spans="1:9">
      <c r="A40" s="4" t="s">
        <v>5</v>
      </c>
      <c r="B40" s="18">
        <v>2.5000000000000001E-2</v>
      </c>
      <c r="C40" s="16"/>
      <c r="D40" s="121" t="s">
        <v>44</v>
      </c>
      <c r="E40" s="118" t="s">
        <v>45</v>
      </c>
      <c r="F40" s="58"/>
    </row>
    <row r="41" spans="1:9">
      <c r="A41" s="4" t="s">
        <v>7</v>
      </c>
      <c r="B41" s="194">
        <v>10</v>
      </c>
      <c r="C41" s="16"/>
      <c r="D41" s="119">
        <f>(1-((B30/B33)/B46))*(1-(((1/((1+B46)^(B33*B31)))-(1/((1+B46)^(B33*B32))))/(B46*(B33*B32-B33*B31))))</f>
        <v>0.30949070548315449</v>
      </c>
      <c r="E41" s="122">
        <f>(1-((B40/B43)/B46))*(1-(((1/((1+B46)^(B43*B41)))-(1/((1+B46)^(B43*B42))))/(B46*(B43*B42-B43*B41))))</f>
        <v>0.3365610210151978</v>
      </c>
    </row>
    <row r="42" spans="1:9">
      <c r="A42" s="4" t="s">
        <v>9</v>
      </c>
      <c r="B42" s="194">
        <v>40</v>
      </c>
      <c r="C42" s="16"/>
      <c r="D42" s="16"/>
    </row>
    <row r="43" spans="1:9">
      <c r="A43" s="4" t="s">
        <v>10</v>
      </c>
      <c r="B43" s="10">
        <v>2</v>
      </c>
      <c r="C43" s="16"/>
      <c r="D43" s="16"/>
      <c r="E43" s="27"/>
    </row>
    <row r="44" spans="1:9">
      <c r="A44" s="4" t="s">
        <v>12</v>
      </c>
      <c r="B44" s="10">
        <f>(B42-B41)*2</f>
        <v>60</v>
      </c>
      <c r="C44" s="16"/>
      <c r="D44" s="16"/>
    </row>
    <row r="45" spans="1:9" ht="31.2">
      <c r="A45" s="210" t="s">
        <v>18</v>
      </c>
      <c r="B45" s="220">
        <v>400000</v>
      </c>
      <c r="C45" s="16"/>
      <c r="D45" s="16"/>
    </row>
    <row r="46" spans="1:9" ht="31.2">
      <c r="A46" s="211" t="s">
        <v>203</v>
      </c>
      <c r="B46" s="195">
        <f>(1.05^0.5)-1</f>
        <v>2.4695076595959931E-2</v>
      </c>
      <c r="C46" s="16"/>
      <c r="D46" s="16"/>
    </row>
    <row r="47" spans="1:9">
      <c r="A47" s="214"/>
      <c r="B47" s="215"/>
      <c r="C47" s="16"/>
      <c r="D47" s="16"/>
    </row>
    <row r="48" spans="1:9">
      <c r="A48" s="2" t="s">
        <v>43</v>
      </c>
      <c r="B48" s="19"/>
      <c r="C48" s="19"/>
      <c r="D48" s="19"/>
      <c r="E48" s="53" t="s">
        <v>25</v>
      </c>
      <c r="F48" s="20"/>
      <c r="G48" s="19"/>
      <c r="H48" s="19"/>
      <c r="I48" s="19"/>
    </row>
    <row r="49" spans="1:9">
      <c r="A49" s="2" t="s">
        <v>23</v>
      </c>
      <c r="D49" s="2"/>
      <c r="E49" s="23" t="s">
        <v>102</v>
      </c>
      <c r="F49" s="24">
        <v>38717</v>
      </c>
      <c r="G49" s="24">
        <v>38898</v>
      </c>
      <c r="H49" s="24">
        <v>39082</v>
      </c>
      <c r="I49" s="24">
        <v>39263</v>
      </c>
    </row>
    <row r="50" spans="1:9">
      <c r="A50" s="2" t="s">
        <v>38</v>
      </c>
      <c r="D50" s="2"/>
      <c r="E50" s="23"/>
      <c r="F50" s="52">
        <f>B31*2+1</f>
        <v>21</v>
      </c>
      <c r="G50" s="52">
        <f>F50+1</f>
        <v>22</v>
      </c>
      <c r="H50" s="52">
        <f t="shared" ref="H50:I50" si="0">G50+1</f>
        <v>23</v>
      </c>
      <c r="I50" s="52">
        <f t="shared" si="0"/>
        <v>24</v>
      </c>
    </row>
    <row r="51" spans="1:9">
      <c r="A51" s="2" t="s">
        <v>26</v>
      </c>
      <c r="E51" s="25"/>
      <c r="F51" s="25">
        <f>1/(1+($B36/$B33))^(F50)</f>
        <v>0.73149794898893916</v>
      </c>
      <c r="G51" s="25">
        <f>1/(1+($B36/$B33))^(G50)</f>
        <v>0.72068763447186135</v>
      </c>
      <c r="H51" s="25">
        <f>1/(1+($B36/$B33))^(H50)</f>
        <v>0.71003707829740037</v>
      </c>
      <c r="I51" s="25">
        <f>1/(1+($B36/$B33))^(I50)</f>
        <v>0.69954391950482808</v>
      </c>
    </row>
    <row r="52" spans="1:9">
      <c r="A52" s="2"/>
      <c r="E52" s="25"/>
      <c r="F52" s="25"/>
      <c r="G52" s="25"/>
      <c r="H52" s="25"/>
      <c r="I52" s="25"/>
    </row>
    <row r="53" spans="1:9" ht="408.45" customHeight="1">
      <c r="A53" s="2"/>
      <c r="B53" s="216" t="s">
        <v>252</v>
      </c>
      <c r="E53" s="25"/>
      <c r="F53" s="25"/>
      <c r="G53" s="25"/>
      <c r="H53" s="25"/>
      <c r="I53" s="25"/>
    </row>
    <row r="54" spans="1:9">
      <c r="A54" s="26"/>
      <c r="B54" s="27"/>
      <c r="C54" s="27"/>
      <c r="D54" s="27"/>
      <c r="E54" s="28"/>
      <c r="F54" s="28"/>
      <c r="G54" s="28"/>
      <c r="H54" s="28"/>
      <c r="I54" s="28"/>
    </row>
    <row r="55" spans="1:9" ht="21">
      <c r="A55" s="29" t="s">
        <v>27</v>
      </c>
      <c r="B55" s="30"/>
      <c r="C55" s="30"/>
      <c r="D55" s="30"/>
      <c r="E55" s="31"/>
      <c r="F55" s="31"/>
      <c r="G55" s="30"/>
      <c r="H55" s="30"/>
      <c r="I55" s="30"/>
    </row>
    <row r="56" spans="1:9">
      <c r="A56" s="2" t="s">
        <v>37</v>
      </c>
      <c r="D56" s="2"/>
      <c r="E56" s="23"/>
      <c r="F56">
        <v>1</v>
      </c>
      <c r="G56">
        <v>2</v>
      </c>
      <c r="H56">
        <v>3</v>
      </c>
      <c r="I56">
        <v>4</v>
      </c>
    </row>
    <row r="57" spans="1:9">
      <c r="A57" s="27"/>
      <c r="B57" s="26" t="s">
        <v>28</v>
      </c>
      <c r="C57" s="27"/>
      <c r="D57" s="27"/>
      <c r="E57" s="27"/>
      <c r="F57" s="27"/>
      <c r="G57" s="27"/>
      <c r="H57" s="27"/>
      <c r="I57" s="27"/>
    </row>
    <row r="58" spans="1:9">
      <c r="A58" s="27"/>
      <c r="B58" s="27"/>
      <c r="C58" s="27" t="s">
        <v>29</v>
      </c>
      <c r="D58" s="27"/>
      <c r="E58" s="27"/>
      <c r="F58" s="27"/>
      <c r="G58" s="27"/>
      <c r="H58" s="27"/>
      <c r="I58" s="27"/>
    </row>
    <row r="59" spans="1:9">
      <c r="A59" s="27"/>
      <c r="B59" s="27"/>
      <c r="C59" s="27" t="s">
        <v>30</v>
      </c>
      <c r="D59" s="27"/>
      <c r="E59" s="27"/>
      <c r="F59" s="27"/>
      <c r="G59" s="27"/>
      <c r="H59" s="27"/>
      <c r="I59" s="27"/>
    </row>
    <row r="60" spans="1:9">
      <c r="A60" s="27"/>
      <c r="B60" s="33" t="s">
        <v>31</v>
      </c>
      <c r="C60" s="33"/>
      <c r="D60" s="27"/>
      <c r="E60" s="34"/>
      <c r="F60" s="34"/>
      <c r="G60" s="34"/>
      <c r="H60" s="34"/>
      <c r="I60" s="34"/>
    </row>
    <row r="61" spans="1:9">
      <c r="A61" s="27"/>
      <c r="B61" s="26" t="s">
        <v>32</v>
      </c>
      <c r="C61" s="27"/>
      <c r="D61" s="27"/>
      <c r="E61" s="34"/>
      <c r="F61" s="34"/>
      <c r="G61" s="34"/>
      <c r="H61" s="34"/>
      <c r="I61" s="34"/>
    </row>
    <row r="62" spans="1:9">
      <c r="A62" s="27"/>
      <c r="B62" s="27"/>
      <c r="C62" s="27" t="s">
        <v>29</v>
      </c>
      <c r="D62" s="27"/>
      <c r="E62" s="34"/>
      <c r="F62" s="34"/>
      <c r="G62" s="34"/>
      <c r="H62" s="34"/>
      <c r="I62" s="34"/>
    </row>
    <row r="63" spans="1:9">
      <c r="A63" s="27"/>
      <c r="B63" s="27"/>
      <c r="C63" s="27" t="s">
        <v>30</v>
      </c>
      <c r="D63" s="27"/>
      <c r="E63" s="34"/>
      <c r="F63" s="34"/>
      <c r="G63" s="34"/>
      <c r="H63" s="34"/>
      <c r="I63" s="34"/>
    </row>
    <row r="64" spans="1:9">
      <c r="A64" s="26"/>
      <c r="B64" s="27"/>
      <c r="C64" s="27"/>
      <c r="D64" s="27"/>
      <c r="E64" s="35"/>
      <c r="F64" s="35"/>
      <c r="G64" s="27"/>
      <c r="H64" s="27"/>
      <c r="I64" s="27"/>
    </row>
    <row r="65" spans="1:9" ht="21">
      <c r="A65" s="29" t="s">
        <v>33</v>
      </c>
      <c r="B65" s="30"/>
      <c r="C65" s="30"/>
      <c r="D65" s="30"/>
      <c r="E65" s="31"/>
      <c r="F65" s="31"/>
      <c r="G65" s="30"/>
      <c r="H65" s="30"/>
      <c r="I65" s="30"/>
    </row>
    <row r="66" spans="1:9">
      <c r="A66" s="2" t="s">
        <v>24</v>
      </c>
      <c r="D66" s="2"/>
      <c r="E66" s="23"/>
    </row>
    <row r="67" spans="1:9">
      <c r="A67" s="41"/>
      <c r="B67" s="26" t="s">
        <v>28</v>
      </c>
      <c r="C67" s="27"/>
      <c r="D67" s="27"/>
      <c r="E67" s="34"/>
      <c r="F67" s="34"/>
      <c r="G67" s="34"/>
      <c r="H67" s="34"/>
      <c r="I67" s="34"/>
    </row>
    <row r="68" spans="1:9">
      <c r="A68" s="41"/>
      <c r="B68" s="27"/>
      <c r="C68" s="27" t="s">
        <v>29</v>
      </c>
      <c r="D68" s="27"/>
      <c r="E68" s="34"/>
      <c r="F68" s="34"/>
      <c r="G68" s="34"/>
      <c r="H68" s="34"/>
      <c r="I68" s="34"/>
    </row>
    <row r="69" spans="1:9">
      <c r="A69" s="41"/>
      <c r="B69" s="27"/>
      <c r="C69" s="27" t="s">
        <v>30</v>
      </c>
      <c r="D69" s="27"/>
      <c r="E69" s="27"/>
      <c r="F69" s="27"/>
      <c r="G69" s="27"/>
      <c r="H69" s="27"/>
      <c r="I69" s="27"/>
    </row>
    <row r="70" spans="1:9">
      <c r="A70" s="41"/>
      <c r="B70" s="33" t="s">
        <v>31</v>
      </c>
      <c r="C70" s="42"/>
      <c r="D70" s="27"/>
      <c r="E70" s="27"/>
      <c r="F70" s="27"/>
      <c r="G70" s="27"/>
      <c r="H70" s="27"/>
      <c r="I70" s="27"/>
    </row>
    <row r="71" spans="1:9" ht="21">
      <c r="A71" s="43"/>
      <c r="B71" s="26" t="s">
        <v>32</v>
      </c>
      <c r="C71" s="27"/>
      <c r="D71" s="27"/>
      <c r="E71" s="27"/>
      <c r="F71" s="27"/>
      <c r="G71" s="27"/>
      <c r="H71" s="27"/>
      <c r="I71" s="27"/>
    </row>
    <row r="72" spans="1:9">
      <c r="A72" s="27"/>
      <c r="B72" s="27"/>
      <c r="C72" s="27" t="s">
        <v>29</v>
      </c>
      <c r="D72" s="27"/>
      <c r="E72" s="27"/>
      <c r="F72" s="27"/>
      <c r="G72" s="27"/>
      <c r="H72" s="27"/>
      <c r="I72" s="27"/>
    </row>
    <row r="73" spans="1:9">
      <c r="A73" s="27"/>
      <c r="B73" s="27"/>
      <c r="C73" s="27" t="s">
        <v>30</v>
      </c>
      <c r="D73" s="27"/>
      <c r="E73" s="27"/>
      <c r="F73" s="27"/>
      <c r="G73" s="27"/>
      <c r="H73" s="27"/>
      <c r="I73" s="27"/>
    </row>
    <row r="74" spans="1:9">
      <c r="A74" s="24"/>
      <c r="C74" s="47"/>
      <c r="D74" s="47"/>
      <c r="E74" s="47"/>
      <c r="F74" s="47"/>
      <c r="G74" s="45"/>
    </row>
    <row r="75" spans="1:9">
      <c r="A75" s="24"/>
      <c r="C75" s="47"/>
      <c r="D75" s="47"/>
      <c r="E75" s="47"/>
      <c r="F75" s="47"/>
      <c r="G75" s="45"/>
    </row>
  </sheetData>
  <mergeCells count="7">
    <mergeCell ref="A17:A18"/>
    <mergeCell ref="A21:A22"/>
    <mergeCell ref="D28:E28"/>
    <mergeCell ref="D33:E33"/>
    <mergeCell ref="D39:E39"/>
    <mergeCell ref="A28:B28"/>
    <mergeCell ref="A38:B38"/>
  </mergeCells>
  <hyperlinks>
    <hyperlink ref="B21" r:id="rId1" xr:uid="{CC47604E-535A-4CDF-9D16-A23455E161D4}"/>
    <hyperlink ref="B18" r:id="rId2" xr:uid="{2A3CB0B0-C3F6-455A-A2EF-A4E2CA732458}"/>
  </hyperlinks>
  <pageMargins left="0.7" right="0.7" top="0.75" bottom="0.75" header="0.3" footer="0.3"/>
  <pageSetup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E498-7A7A-4A45-AF1D-60006ECB6BD7}">
  <sheetPr>
    <tabColor rgb="FF7030A0"/>
  </sheetPr>
  <dimension ref="A1:CB91"/>
  <sheetViews>
    <sheetView topLeftCell="A4" zoomScale="90" zoomScaleNormal="90" workbookViewId="0">
      <pane xSplit="5" ySplit="27" topLeftCell="F31" activePane="bottomRight" state="frozen"/>
      <selection activeCell="A26" sqref="A26:A28"/>
      <selection pane="topRight" activeCell="A26" sqref="A26:A28"/>
      <selection pane="bottomLeft" activeCell="A26" sqref="A26:A28"/>
      <selection pane="bottomRight" activeCell="E76" sqref="E76"/>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66</v>
      </c>
    </row>
    <row r="5" spans="1:7" ht="21">
      <c r="A5" s="1"/>
    </row>
    <row r="6" spans="1:7" ht="21">
      <c r="A6" s="347" t="s">
        <v>1</v>
      </c>
      <c r="B6" s="348"/>
      <c r="C6" s="348"/>
      <c r="D6" s="349"/>
      <c r="F6" s="321" t="s">
        <v>2</v>
      </c>
      <c r="G6" s="322"/>
    </row>
    <row r="7" spans="1:7">
      <c r="A7" s="257" t="s">
        <v>3</v>
      </c>
      <c r="B7" s="263"/>
      <c r="C7" s="263"/>
      <c r="D7" s="295">
        <f>Data!D9</f>
        <v>2014</v>
      </c>
      <c r="F7" s="6" t="s">
        <v>4</v>
      </c>
      <c r="G7" s="7">
        <f>D13</f>
        <v>56043600</v>
      </c>
    </row>
    <row r="8" spans="1:7">
      <c r="A8" s="257" t="s">
        <v>5</v>
      </c>
      <c r="B8" s="263"/>
      <c r="C8" s="263"/>
      <c r="D8" s="296">
        <f>Data!F9</f>
        <v>2.5000000000000001E-3</v>
      </c>
      <c r="F8" s="6" t="s">
        <v>6</v>
      </c>
      <c r="G8" s="9">
        <f>D33*-1</f>
        <v>57526376.042003743</v>
      </c>
    </row>
    <row r="9" spans="1:7">
      <c r="A9" s="257" t="s">
        <v>7</v>
      </c>
      <c r="B9" s="263"/>
      <c r="C9" s="263"/>
      <c r="D9" s="260">
        <f>Data!G9</f>
        <v>4</v>
      </c>
      <c r="F9" s="11" t="s">
        <v>8</v>
      </c>
      <c r="G9" s="12">
        <f>D37*-1</f>
        <v>42726376.413291194</v>
      </c>
    </row>
    <row r="10" spans="1:7">
      <c r="A10" s="257" t="s">
        <v>9</v>
      </c>
      <c r="B10" s="263"/>
      <c r="C10" s="263"/>
      <c r="D10" s="260">
        <f>Data!E9</f>
        <v>14</v>
      </c>
    </row>
    <row r="11" spans="1:7">
      <c r="A11" s="257" t="s">
        <v>10</v>
      </c>
      <c r="B11" s="263"/>
      <c r="C11" s="263"/>
      <c r="D11" s="260">
        <v>2</v>
      </c>
      <c r="F11" s="321" t="s">
        <v>11</v>
      </c>
      <c r="G11" s="322"/>
    </row>
    <row r="12" spans="1:7">
      <c r="A12" s="257" t="s">
        <v>12</v>
      </c>
      <c r="B12" s="263"/>
      <c r="C12" s="263"/>
      <c r="D12" s="260">
        <f>(D10-D9)*2</f>
        <v>20</v>
      </c>
      <c r="F12" s="6" t="s">
        <v>4</v>
      </c>
      <c r="G12" s="7">
        <f>D13</f>
        <v>56043600</v>
      </c>
    </row>
    <row r="13" spans="1:7">
      <c r="A13" s="257" t="s">
        <v>259</v>
      </c>
      <c r="B13" s="263"/>
      <c r="C13" s="263"/>
      <c r="D13" s="297">
        <f>Data!B9</f>
        <v>56043600</v>
      </c>
      <c r="F13" s="6" t="s">
        <v>31</v>
      </c>
      <c r="G13" s="9">
        <f>D24</f>
        <v>53307390.197899811</v>
      </c>
    </row>
    <row r="14" spans="1:7">
      <c r="A14" s="298" t="s">
        <v>15</v>
      </c>
      <c r="B14" s="261"/>
      <c r="C14" s="261"/>
      <c r="D14" s="299">
        <v>3.2899999999999999E-2</v>
      </c>
      <c r="F14" s="6" t="s">
        <v>6</v>
      </c>
      <c r="G14" s="9">
        <f>(D44+D53+D62)*-1</f>
        <v>77241201.587934926</v>
      </c>
    </row>
    <row r="15" spans="1:7">
      <c r="A15" s="263"/>
      <c r="B15" s="263"/>
      <c r="C15" s="263"/>
      <c r="D15" s="263"/>
      <c r="E15" s="16"/>
      <c r="F15" s="11" t="s">
        <v>8</v>
      </c>
      <c r="G15" s="12">
        <f>(D48+D57+D66)*-1</f>
        <v>48604043.473890148</v>
      </c>
    </row>
    <row r="16" spans="1:7" ht="20.399999999999999">
      <c r="A16" s="350" t="s">
        <v>16</v>
      </c>
      <c r="B16" s="351"/>
      <c r="C16" s="351"/>
      <c r="D16" s="352"/>
      <c r="E16" s="16"/>
      <c r="F16" s="16"/>
    </row>
    <row r="17" spans="1:80">
      <c r="A17" s="257" t="s">
        <v>17</v>
      </c>
      <c r="B17" s="263"/>
      <c r="C17" s="263"/>
      <c r="D17" s="300">
        <f>Data!H9</f>
        <v>2019</v>
      </c>
      <c r="E17" s="16"/>
      <c r="F17" s="323" t="s">
        <v>109</v>
      </c>
      <c r="G17" s="324"/>
      <c r="H17" s="120"/>
    </row>
    <row r="18" spans="1:80">
      <c r="A18" s="257" t="s">
        <v>5</v>
      </c>
      <c r="B18" s="263"/>
      <c r="C18" s="263"/>
      <c r="D18" s="259">
        <f>Data!N9</f>
        <v>1.4999999999999999E-2</v>
      </c>
      <c r="E18" s="16"/>
      <c r="F18" s="121" t="s">
        <v>44</v>
      </c>
      <c r="G18" s="118" t="s">
        <v>45</v>
      </c>
      <c r="H18" s="58"/>
    </row>
    <row r="19" spans="1:80">
      <c r="A19" s="257" t="s">
        <v>7</v>
      </c>
      <c r="B19" s="263"/>
      <c r="C19" s="263"/>
      <c r="D19" s="260">
        <f>Data!O9</f>
        <v>4</v>
      </c>
      <c r="E19" s="16"/>
      <c r="F19" s="119">
        <f>(1-((D8/D11)/D25))*(1-(((1/((1+D25)^(D11*D9)))-(1/((1+D25)^(D11*D10))))/(D25*(D11*D10-D11*D9))))</f>
        <v>0.33882226642123925</v>
      </c>
      <c r="G19" s="122">
        <f>(1-((D18/D21)/D25))*(1-(((1/((1+D25)^(D21*D19)))-(1/((1+D25)^(D21*D20))))/(D25*(D21*D20-D21*D19))))</f>
        <v>0.36936276656355727</v>
      </c>
    </row>
    <row r="20" spans="1:80">
      <c r="A20" s="257" t="s">
        <v>9</v>
      </c>
      <c r="B20" s="263"/>
      <c r="C20" s="263"/>
      <c r="D20" s="260">
        <f>Data!M9</f>
        <v>29</v>
      </c>
      <c r="E20" s="16"/>
      <c r="F20" s="16"/>
    </row>
    <row r="21" spans="1:80">
      <c r="A21" s="257" t="s">
        <v>10</v>
      </c>
      <c r="B21" s="263"/>
      <c r="C21" s="263"/>
      <c r="D21" s="260">
        <v>2</v>
      </c>
      <c r="E21" s="16"/>
      <c r="F21" s="16"/>
    </row>
    <row r="22" spans="1:80">
      <c r="A22" s="257" t="s">
        <v>12</v>
      </c>
      <c r="B22" s="263"/>
      <c r="C22" s="263"/>
      <c r="D22" s="260">
        <f>(D20-D19)*2</f>
        <v>50</v>
      </c>
      <c r="E22" s="16"/>
      <c r="F22" s="16"/>
    </row>
    <row r="23" spans="1:80">
      <c r="A23" s="257" t="s">
        <v>42</v>
      </c>
      <c r="B23" s="263"/>
      <c r="C23" s="263"/>
      <c r="D23" s="309">
        <f>D22-'ROC - Outstanding Balances'!O57-6</f>
        <v>43</v>
      </c>
      <c r="E23" s="16"/>
      <c r="F23" s="16"/>
    </row>
    <row r="24" spans="1:80">
      <c r="A24" s="257" t="s">
        <v>219</v>
      </c>
      <c r="B24" s="263"/>
      <c r="C24" s="263"/>
      <c r="D24" s="301">
        <f>Data!L9</f>
        <v>53307390.197899811</v>
      </c>
      <c r="E24" s="16"/>
      <c r="F24" s="16"/>
    </row>
    <row r="25" spans="1:80">
      <c r="A25" s="304" t="s">
        <v>187</v>
      </c>
      <c r="B25" s="14"/>
      <c r="C25" s="14"/>
      <c r="D25" s="195">
        <f>(1.05^0.5)-1</f>
        <v>2.4695076595959931E-2</v>
      </c>
      <c r="E25" s="16"/>
      <c r="F25" s="16"/>
    </row>
    <row r="26" spans="1:80" s="19" customFormat="1" ht="46.8">
      <c r="A26" s="302" t="s">
        <v>43</v>
      </c>
      <c r="E26" s="20"/>
      <c r="F26" s="21" t="s">
        <v>19</v>
      </c>
      <c r="L26" s="21" t="s">
        <v>20</v>
      </c>
      <c r="N26" s="51"/>
      <c r="R26" s="51"/>
      <c r="T26" s="51"/>
      <c r="Y26" s="21" t="s">
        <v>21</v>
      </c>
      <c r="AA26" s="51"/>
      <c r="AD26" s="51"/>
      <c r="AI26" s="51"/>
      <c r="BC26" s="21" t="s">
        <v>22</v>
      </c>
      <c r="BE26" s="51"/>
      <c r="BH26" s="51"/>
      <c r="BM26" s="51"/>
    </row>
    <row r="27" spans="1:80">
      <c r="A27" s="262" t="s">
        <v>23</v>
      </c>
      <c r="D27" s="2"/>
      <c r="E27" s="23" t="s">
        <v>87</v>
      </c>
      <c r="F27" s="24">
        <v>43465</v>
      </c>
      <c r="G27" s="24">
        <v>43646</v>
      </c>
      <c r="H27" s="24">
        <v>43830</v>
      </c>
      <c r="I27" s="24">
        <v>44012</v>
      </c>
      <c r="J27" s="24">
        <v>44196</v>
      </c>
      <c r="K27" s="24">
        <v>44377</v>
      </c>
      <c r="L27" s="24">
        <v>44561</v>
      </c>
      <c r="M27" s="24">
        <v>44742</v>
      </c>
      <c r="N27" s="24">
        <v>44926</v>
      </c>
      <c r="O27" s="24">
        <v>45107</v>
      </c>
      <c r="P27" s="24">
        <v>45291</v>
      </c>
      <c r="Q27" s="24">
        <v>45473</v>
      </c>
      <c r="R27" s="24">
        <v>45657</v>
      </c>
      <c r="S27" s="24">
        <v>45838</v>
      </c>
      <c r="T27" s="24">
        <v>46022</v>
      </c>
      <c r="U27" s="24">
        <v>46203</v>
      </c>
      <c r="V27" s="24">
        <v>46387</v>
      </c>
      <c r="W27" s="24">
        <v>46568</v>
      </c>
      <c r="X27" s="24">
        <v>46752</v>
      </c>
      <c r="Y27" s="24">
        <v>46934</v>
      </c>
      <c r="Z27" s="24">
        <v>47118</v>
      </c>
      <c r="AA27" s="24">
        <v>47299</v>
      </c>
      <c r="AB27" s="24">
        <v>47483</v>
      </c>
      <c r="AC27" s="24">
        <v>47664</v>
      </c>
      <c r="AD27" s="24">
        <v>47848</v>
      </c>
      <c r="AE27" s="24">
        <v>48029</v>
      </c>
      <c r="AF27" s="24">
        <v>48213</v>
      </c>
      <c r="AG27" s="24">
        <v>48395</v>
      </c>
      <c r="AH27" s="24">
        <v>48579</v>
      </c>
      <c r="AI27" s="24">
        <v>48760</v>
      </c>
      <c r="AJ27" s="24">
        <v>48944</v>
      </c>
      <c r="AK27" s="24">
        <v>49125</v>
      </c>
      <c r="AL27" s="24">
        <v>49309</v>
      </c>
      <c r="AM27" s="24">
        <v>49490</v>
      </c>
      <c r="AN27" s="24">
        <v>49674</v>
      </c>
      <c r="AO27" s="24">
        <v>49856</v>
      </c>
      <c r="AP27" s="24">
        <v>50040</v>
      </c>
      <c r="AQ27" s="24">
        <v>50221</v>
      </c>
      <c r="AR27" s="24">
        <v>50405</v>
      </c>
      <c r="AS27" s="24">
        <v>50586</v>
      </c>
      <c r="AT27" s="24">
        <v>50770</v>
      </c>
      <c r="AU27" s="24">
        <v>50951</v>
      </c>
      <c r="AV27" s="24">
        <v>51135</v>
      </c>
      <c r="AW27" s="24">
        <v>51317</v>
      </c>
      <c r="AX27" s="24">
        <v>51501</v>
      </c>
      <c r="AY27" s="24">
        <v>51682</v>
      </c>
      <c r="AZ27" s="24">
        <v>51866</v>
      </c>
      <c r="BA27" s="24">
        <v>52047</v>
      </c>
      <c r="BB27" s="24">
        <v>52231</v>
      </c>
      <c r="BC27" s="24">
        <v>52412</v>
      </c>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row>
    <row r="28" spans="1:80">
      <c r="A28" s="262" t="s">
        <v>38</v>
      </c>
      <c r="D28" s="2"/>
      <c r="E28" s="23"/>
      <c r="F28" s="54">
        <f>(D9*2)+1</f>
        <v>9</v>
      </c>
      <c r="G28" s="54">
        <f>F28+1</f>
        <v>10</v>
      </c>
      <c r="H28" s="54">
        <f t="shared" ref="H28:BC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c r="A29" s="2" t="s">
        <v>26</v>
      </c>
      <c r="E29" s="25"/>
      <c r="F29" s="25">
        <f>1/(1+($D14/$D11))^F28</f>
        <v>0.86342738359377502</v>
      </c>
      <c r="G29" s="25">
        <f t="shared" ref="G29:BC29" si="1">1/(1+($D14/$D11))^G28</f>
        <v>0.84945386747383023</v>
      </c>
      <c r="H29" s="25">
        <f t="shared" si="1"/>
        <v>0.83570649562086685</v>
      </c>
      <c r="I29" s="25">
        <f t="shared" si="1"/>
        <v>0.82218160816652752</v>
      </c>
      <c r="J29" s="25">
        <f t="shared" si="1"/>
        <v>0.80887560447294737</v>
      </c>
      <c r="K29" s="25">
        <f t="shared" si="1"/>
        <v>0.79578494217418216</v>
      </c>
      <c r="L29" s="25">
        <f t="shared" si="1"/>
        <v>0.78290613623314675</v>
      </c>
      <c r="M29" s="25">
        <f t="shared" si="1"/>
        <v>0.77023575801381938</v>
      </c>
      <c r="N29" s="25">
        <f t="shared" si="1"/>
        <v>0.75777043436845815</v>
      </c>
      <c r="O29" s="25">
        <f t="shared" si="1"/>
        <v>0.74550684673959167</v>
      </c>
      <c r="P29" s="25">
        <f t="shared" si="1"/>
        <v>0.73344173027654258</v>
      </c>
      <c r="Q29" s="25">
        <f t="shared" si="1"/>
        <v>0.7215718729662477</v>
      </c>
      <c r="R29" s="25">
        <f t="shared" si="1"/>
        <v>0.70989411477814712</v>
      </c>
      <c r="S29" s="25">
        <f t="shared" si="1"/>
        <v>0.69840534682291022</v>
      </c>
      <c r="T29" s="25">
        <f t="shared" si="1"/>
        <v>0.68710251052477755</v>
      </c>
      <c r="U29" s="25">
        <f t="shared" si="1"/>
        <v>0.67598259680729744</v>
      </c>
      <c r="V29" s="25">
        <f t="shared" si="1"/>
        <v>0.66504264529224011</v>
      </c>
      <c r="W29" s="25">
        <f t="shared" si="1"/>
        <v>0.65427974351147611</v>
      </c>
      <c r="X29" s="25">
        <f t="shared" si="1"/>
        <v>0.643691026131611</v>
      </c>
      <c r="Y29" s="25">
        <f t="shared" si="1"/>
        <v>0.63327367419116631</v>
      </c>
      <c r="Z29" s="25">
        <f t="shared" si="1"/>
        <v>0.62302491435010698</v>
      </c>
      <c r="AA29" s="25">
        <f t="shared" si="1"/>
        <v>0.61294201815151461</v>
      </c>
      <c r="AB29" s="25">
        <f t="shared" si="1"/>
        <v>0.60302230129520829</v>
      </c>
      <c r="AC29" s="25">
        <f t="shared" si="1"/>
        <v>0.59326312292312289</v>
      </c>
      <c r="AD29" s="25">
        <f t="shared" si="1"/>
        <v>0.5836618849162506</v>
      </c>
      <c r="AE29" s="25">
        <f t="shared" si="1"/>
        <v>0.57421603120296161</v>
      </c>
      <c r="AF29" s="25">
        <f t="shared" si="1"/>
        <v>0.56492304707851992</v>
      </c>
      <c r="AG29" s="25">
        <f t="shared" si="1"/>
        <v>0.55578045853560909</v>
      </c>
      <c r="AH29" s="25">
        <f t="shared" si="1"/>
        <v>0.54678583160569538</v>
      </c>
      <c r="AI29" s="25">
        <f t="shared" si="1"/>
        <v>0.53793677171104859</v>
      </c>
      <c r="AJ29" s="25">
        <f t="shared" si="1"/>
        <v>0.52923092302725028</v>
      </c>
      <c r="AK29" s="25">
        <f t="shared" si="1"/>
        <v>0.52066596785601871</v>
      </c>
      <c r="AL29" s="25">
        <f t="shared" si="1"/>
        <v>0.51223962600818418</v>
      </c>
      <c r="AM29" s="25">
        <f t="shared" si="1"/>
        <v>0.50394965419664906</v>
      </c>
      <c r="AN29" s="25">
        <f t="shared" si="1"/>
        <v>0.4957938454391746</v>
      </c>
      <c r="AO29" s="25">
        <f t="shared" si="1"/>
        <v>0.48777002847082945</v>
      </c>
      <c r="AP29" s="25">
        <f t="shared" si="1"/>
        <v>0.47987606716594949</v>
      </c>
      <c r="AQ29" s="25">
        <f t="shared" si="1"/>
        <v>0.47210985996945204</v>
      </c>
      <c r="AR29" s="25">
        <f t="shared" si="1"/>
        <v>0.46446933933735252</v>
      </c>
      <c r="AS29" s="25">
        <f t="shared" si="1"/>
        <v>0.45695247118633725</v>
      </c>
      <c r="AT29" s="25">
        <f t="shared" si="1"/>
        <v>0.44955725435224281</v>
      </c>
      <c r="AU29" s="25">
        <f t="shared" si="1"/>
        <v>0.44228172005730015</v>
      </c>
      <c r="AV29" s="25">
        <f t="shared" si="1"/>
        <v>0.43512393138600036</v>
      </c>
      <c r="AW29" s="25">
        <f t="shared" si="1"/>
        <v>0.42808198276944304</v>
      </c>
      <c r="AX29" s="25">
        <f t="shared" si="1"/>
        <v>0.42115399947802934</v>
      </c>
      <c r="AY29" s="25">
        <f t="shared" si="1"/>
        <v>0.41433813712236645</v>
      </c>
      <c r="AZ29" s="25">
        <f t="shared" si="1"/>
        <v>0.40763258116224743</v>
      </c>
      <c r="BA29" s="25">
        <f t="shared" si="1"/>
        <v>0.40103554642357953</v>
      </c>
      <c r="BB29" s="25">
        <f t="shared" si="1"/>
        <v>0.39454527662312905</v>
      </c>
      <c r="BC29" s="25">
        <f t="shared" si="1"/>
        <v>0.3881600439009581</v>
      </c>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BI32" s="23"/>
      <c r="BJ32" s="24"/>
      <c r="BK32" s="23"/>
      <c r="BL32" s="24"/>
      <c r="BM32" s="23"/>
      <c r="BN32" s="24"/>
      <c r="BO32" s="23"/>
      <c r="BP32" s="24"/>
      <c r="BQ32" s="23"/>
      <c r="BR32" s="24"/>
      <c r="BS32" s="23"/>
      <c r="BT32" s="24"/>
      <c r="BU32" s="23"/>
      <c r="BV32" s="24"/>
      <c r="BW32" s="23"/>
    </row>
    <row r="33" spans="1:75">
      <c r="A33" s="27"/>
      <c r="B33" s="26" t="s">
        <v>28</v>
      </c>
      <c r="C33" s="27"/>
      <c r="D33" s="27">
        <f>SUM(E33:CC33)</f>
        <v>-57526376.042003743</v>
      </c>
      <c r="E33" s="27"/>
      <c r="F33" s="27">
        <f t="shared" ref="F33:Y33" si="2">PMT($D$8,$D$12,$D$13)</f>
        <v>-2876318.8021001862</v>
      </c>
      <c r="G33" s="27">
        <f t="shared" si="2"/>
        <v>-2876318.8021001862</v>
      </c>
      <c r="H33" s="27">
        <f t="shared" si="2"/>
        <v>-2876318.8021001862</v>
      </c>
      <c r="I33" s="27">
        <f t="shared" si="2"/>
        <v>-2876318.8021001862</v>
      </c>
      <c r="J33" s="27">
        <f t="shared" si="2"/>
        <v>-2876318.8021001862</v>
      </c>
      <c r="K33" s="27">
        <f t="shared" si="2"/>
        <v>-2876318.8021001862</v>
      </c>
      <c r="L33" s="27">
        <f t="shared" si="2"/>
        <v>-2876318.8021001862</v>
      </c>
      <c r="M33" s="27">
        <f t="shared" si="2"/>
        <v>-2876318.8021001862</v>
      </c>
      <c r="N33" s="27">
        <f t="shared" si="2"/>
        <v>-2876318.8021001862</v>
      </c>
      <c r="O33" s="27">
        <f t="shared" si="2"/>
        <v>-2876318.8021001862</v>
      </c>
      <c r="P33" s="27">
        <f t="shared" si="2"/>
        <v>-2876318.8021001862</v>
      </c>
      <c r="Q33" s="27">
        <f t="shared" si="2"/>
        <v>-2876318.8021001862</v>
      </c>
      <c r="R33" s="27">
        <f t="shared" si="2"/>
        <v>-2876318.8021001862</v>
      </c>
      <c r="S33" s="27">
        <f t="shared" si="2"/>
        <v>-2876318.8021001862</v>
      </c>
      <c r="T33" s="27">
        <f t="shared" si="2"/>
        <v>-2876318.8021001862</v>
      </c>
      <c r="U33" s="27">
        <f t="shared" si="2"/>
        <v>-2876318.8021001862</v>
      </c>
      <c r="V33" s="27">
        <f t="shared" si="2"/>
        <v>-2876318.8021001862</v>
      </c>
      <c r="W33" s="27">
        <f t="shared" si="2"/>
        <v>-2876318.8021001862</v>
      </c>
      <c r="X33" s="27">
        <f t="shared" si="2"/>
        <v>-2876318.8021001862</v>
      </c>
      <c r="Y33" s="27">
        <f t="shared" si="2"/>
        <v>-2876318.8021001862</v>
      </c>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3">SUM(E34:CC34)</f>
        <v>-56043600</v>
      </c>
      <c r="E34" s="27"/>
      <c r="F34" s="27">
        <f t="shared" ref="F34:Y34" si="4">PPMT($D$8,F32,$D$12,$D$13)</f>
        <v>-2736209.8021001862</v>
      </c>
      <c r="G34" s="27">
        <f t="shared" si="4"/>
        <v>-2743050.3266054369</v>
      </c>
      <c r="H34" s="27">
        <f t="shared" si="4"/>
        <v>-2749907.9524219506</v>
      </c>
      <c r="I34" s="27">
        <f t="shared" si="4"/>
        <v>-2756782.7223030054</v>
      </c>
      <c r="J34" s="27">
        <f t="shared" si="4"/>
        <v>-2763674.6791087626</v>
      </c>
      <c r="K34" s="27">
        <f t="shared" si="4"/>
        <v>-2770583.8658065349</v>
      </c>
      <c r="L34" s="27">
        <f t="shared" si="4"/>
        <v>-2777510.3254710515</v>
      </c>
      <c r="M34" s="27">
        <f t="shared" si="4"/>
        <v>-2784454.1012847289</v>
      </c>
      <c r="N34" s="27">
        <f t="shared" si="4"/>
        <v>-2791415.2365379403</v>
      </c>
      <c r="O34" s="27">
        <f t="shared" si="4"/>
        <v>-2798393.7746292856</v>
      </c>
      <c r="P34" s="27">
        <f t="shared" si="4"/>
        <v>-2805389.7590658586</v>
      </c>
      <c r="Q34" s="27">
        <f t="shared" si="4"/>
        <v>-2812403.2334635234</v>
      </c>
      <c r="R34" s="27">
        <f t="shared" si="4"/>
        <v>-2819434.2415471822</v>
      </c>
      <c r="S34" s="27">
        <f t="shared" si="4"/>
        <v>-2826482.8271510499</v>
      </c>
      <c r="T34" s="27">
        <f t="shared" si="4"/>
        <v>-2833549.0342189278</v>
      </c>
      <c r="U34" s="27">
        <f t="shared" si="4"/>
        <v>-2840632.9068044755</v>
      </c>
      <c r="V34" s="27">
        <f t="shared" si="4"/>
        <v>-2847734.4890714861</v>
      </c>
      <c r="W34" s="27">
        <f t="shared" si="4"/>
        <v>-2854853.8252941649</v>
      </c>
      <c r="X34" s="27">
        <f t="shared" si="4"/>
        <v>-2861990.9598574</v>
      </c>
      <c r="Y34" s="27">
        <f t="shared" si="4"/>
        <v>-2869145.9372570436</v>
      </c>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-1482776.0420037336</v>
      </c>
      <c r="E35" s="27"/>
      <c r="F35" s="27">
        <f t="shared" ref="F35:Y35" si="5">IPMT($D$8,F32,$D$12,$D13)</f>
        <v>-140109</v>
      </c>
      <c r="G35" s="27">
        <f t="shared" si="5"/>
        <v>-133268.47549474952</v>
      </c>
      <c r="H35" s="27">
        <f t="shared" si="5"/>
        <v>-126410.84967823593</v>
      </c>
      <c r="I35" s="27">
        <f t="shared" si="5"/>
        <v>-119536.07979718107</v>
      </c>
      <c r="J35" s="27">
        <f t="shared" si="5"/>
        <v>-112644.12299142356</v>
      </c>
      <c r="K35" s="27">
        <f t="shared" si="5"/>
        <v>-105734.93629365163</v>
      </c>
      <c r="L35" s="27">
        <f t="shared" si="5"/>
        <v>-98808.476629135315</v>
      </c>
      <c r="M35" s="27">
        <f t="shared" si="5"/>
        <v>-91864.700815457662</v>
      </c>
      <c r="N35" s="27">
        <f t="shared" si="5"/>
        <v>-84903.565562245843</v>
      </c>
      <c r="O35" s="27">
        <f t="shared" si="5"/>
        <v>-77925.027470900997</v>
      </c>
      <c r="P35" s="27">
        <f t="shared" si="5"/>
        <v>-70929.043034327784</v>
      </c>
      <c r="Q35" s="27">
        <f t="shared" si="5"/>
        <v>-63915.56863666312</v>
      </c>
      <c r="R35" s="27">
        <f t="shared" si="5"/>
        <v>-56884.560553004325</v>
      </c>
      <c r="S35" s="27">
        <f t="shared" si="5"/>
        <v>-49835.974949136376</v>
      </c>
      <c r="T35" s="27">
        <f t="shared" si="5"/>
        <v>-42769.767881258747</v>
      </c>
      <c r="U35" s="27">
        <f t="shared" si="5"/>
        <v>-35685.895295711431</v>
      </c>
      <c r="V35" s="27">
        <f t="shared" si="5"/>
        <v>-28584.313028700242</v>
      </c>
      <c r="W35" s="27">
        <f t="shared" si="5"/>
        <v>-21464.976806021525</v>
      </c>
      <c r="X35" s="27">
        <f t="shared" si="5"/>
        <v>-14327.84224278611</v>
      </c>
      <c r="Y35" s="27">
        <f t="shared" si="5"/>
        <v>-7172.86484314261</v>
      </c>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56043600</v>
      </c>
      <c r="F36" s="34">
        <f>E36+F34</f>
        <v>53307390.197899811</v>
      </c>
      <c r="G36" s="34">
        <f t="shared" ref="G36:Y36" si="6">F$36+G$34</f>
        <v>50564339.871294372</v>
      </c>
      <c r="H36" s="34">
        <f t="shared" si="6"/>
        <v>47814431.918872423</v>
      </c>
      <c r="I36" s="34">
        <f t="shared" si="6"/>
        <v>45057649.19656942</v>
      </c>
      <c r="J36" s="34">
        <f t="shared" si="6"/>
        <v>42293974.517460659</v>
      </c>
      <c r="K36" s="34">
        <f t="shared" si="6"/>
        <v>39523390.651654124</v>
      </c>
      <c r="L36" s="34">
        <f t="shared" si="6"/>
        <v>36745880.326183073</v>
      </c>
      <c r="M36" s="34">
        <f t="shared" si="6"/>
        <v>33961426.224898346</v>
      </c>
      <c r="N36" s="34">
        <f t="shared" si="6"/>
        <v>31170010.988360405</v>
      </c>
      <c r="O36" s="34">
        <f t="shared" si="6"/>
        <v>28371617.213731118</v>
      </c>
      <c r="P36" s="34">
        <f t="shared" si="6"/>
        <v>25566227.454665259</v>
      </c>
      <c r="Q36" s="34">
        <f t="shared" si="6"/>
        <v>22753824.221201736</v>
      </c>
      <c r="R36" s="34">
        <f t="shared" si="6"/>
        <v>19934389.979654554</v>
      </c>
      <c r="S36" s="34">
        <f t="shared" si="6"/>
        <v>17107907.152503505</v>
      </c>
      <c r="T36" s="34">
        <f t="shared" si="6"/>
        <v>14274358.118284578</v>
      </c>
      <c r="U36" s="34">
        <f t="shared" si="6"/>
        <v>11433725.211480102</v>
      </c>
      <c r="V36" s="34">
        <f t="shared" si="6"/>
        <v>8585990.7224086151</v>
      </c>
      <c r="W36" s="34">
        <f t="shared" si="6"/>
        <v>5731136.8971144501</v>
      </c>
      <c r="X36" s="34">
        <f t="shared" si="6"/>
        <v>2869145.9372570501</v>
      </c>
      <c r="Y36" s="34">
        <f t="shared" si="6"/>
        <v>6.5192580223083496E-9</v>
      </c>
      <c r="Z36" s="34"/>
      <c r="AA36" s="34"/>
      <c r="AB36" s="34"/>
      <c r="AC36" s="34"/>
      <c r="AD36" s="34"/>
      <c r="AE36" s="34"/>
      <c r="AF36" s="34"/>
      <c r="AG36" s="34"/>
      <c r="AH36" s="34"/>
      <c r="AI36" s="34"/>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-42726376.413291194</v>
      </c>
      <c r="E37" s="34"/>
      <c r="F37" s="34">
        <f t="shared" ref="F37:Y37" si="7">F33*F29</f>
        <v>-2483492.4176789448</v>
      </c>
      <c r="G37" s="34">
        <f t="shared" si="7"/>
        <v>-2443300.1305316975</v>
      </c>
      <c r="H37" s="34">
        <f t="shared" si="7"/>
        <v>-2403758.3063915563</v>
      </c>
      <c r="I37" s="34">
        <f t="shared" si="7"/>
        <v>-2364856.4183103512</v>
      </c>
      <c r="J37" s="34">
        <f t="shared" si="7"/>
        <v>-2326584.1097056922</v>
      </c>
      <c r="K37" s="34">
        <f t="shared" si="7"/>
        <v>-2288931.1916038096</v>
      </c>
      <c r="L37" s="34">
        <f t="shared" si="7"/>
        <v>-2251887.6399270101</v>
      </c>
      <c r="M37" s="34">
        <f t="shared" si="7"/>
        <v>-2215443.5928250379</v>
      </c>
      <c r="N37" s="34">
        <f t="shared" si="7"/>
        <v>-2179589.3480496211</v>
      </c>
      <c r="O37" s="34">
        <f t="shared" si="7"/>
        <v>-2144315.3603715096</v>
      </c>
      <c r="P37" s="34">
        <f t="shared" si="7"/>
        <v>-2109612.239039313</v>
      </c>
      <c r="Q37" s="34">
        <f t="shared" si="7"/>
        <v>-2075470.7452794653</v>
      </c>
      <c r="R37" s="34">
        <f t="shared" si="7"/>
        <v>-2041881.7898366523</v>
      </c>
      <c r="S37" s="34">
        <f t="shared" si="7"/>
        <v>-2008836.4305540381</v>
      </c>
      <c r="T37" s="34">
        <f t="shared" si="7"/>
        <v>-1976325.8699926587</v>
      </c>
      <c r="U37" s="34">
        <f t="shared" si="7"/>
        <v>-1944341.453089339</v>
      </c>
      <c r="V37" s="34">
        <f t="shared" si="7"/>
        <v>-1912874.6648525151</v>
      </c>
      <c r="W37" s="34">
        <f t="shared" si="7"/>
        <v>-1881917.128095346</v>
      </c>
      <c r="X37" s="34">
        <f t="shared" si="7"/>
        <v>-1851460.601205515</v>
      </c>
      <c r="Y37" s="34">
        <f t="shared" si="7"/>
        <v>-1821496.9759511191</v>
      </c>
      <c r="Z37" s="34"/>
      <c r="AA37" s="34"/>
      <c r="AB37" s="34"/>
      <c r="AC37" s="34"/>
      <c r="AD37" s="34"/>
      <c r="AE37" s="34"/>
      <c r="AF37" s="34"/>
      <c r="AG37" s="34"/>
      <c r="AH37" s="34"/>
      <c r="AI37" s="34"/>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-41568811.704502769</v>
      </c>
      <c r="E38" s="34"/>
      <c r="F38" s="34">
        <f t="shared" ref="F38:Y38" si="8">F34*F29</f>
        <v>-2362518.4703910048</v>
      </c>
      <c r="G38" s="34">
        <f t="shared" si="8"/>
        <v>-2330094.7086103414</v>
      </c>
      <c r="H38" s="34">
        <f t="shared" si="8"/>
        <v>-2298115.9381985017</v>
      </c>
      <c r="I38" s="34">
        <f t="shared" si="8"/>
        <v>-2266576.0519887828</v>
      </c>
      <c r="J38" s="34">
        <f t="shared" si="8"/>
        <v>-2235469.0266306791</v>
      </c>
      <c r="K38" s="34">
        <f t="shared" si="8"/>
        <v>-2204788.9214395755</v>
      </c>
      <c r="L38" s="34">
        <f t="shared" si="8"/>
        <v>-2174529.8772622109</v>
      </c>
      <c r="M38" s="34">
        <f t="shared" si="8"/>
        <v>-2144686.1153577315</v>
      </c>
      <c r="N38" s="34">
        <f t="shared" si="8"/>
        <v>-2115251.9362940872</v>
      </c>
      <c r="O38" s="34">
        <f t="shared" si="8"/>
        <v>-2086221.7188595822</v>
      </c>
      <c r="P38" s="34">
        <f t="shared" si="8"/>
        <v>-2057589.9189893561</v>
      </c>
      <c r="Q38" s="34">
        <f t="shared" si="8"/>
        <v>-2029351.0687066058</v>
      </c>
      <c r="R38" s="34">
        <f t="shared" si="8"/>
        <v>-2001499.7750783334</v>
      </c>
      <c r="S38" s="34">
        <f t="shared" si="8"/>
        <v>-1974030.7191854287</v>
      </c>
      <c r="T38" s="34">
        <f t="shared" si="8"/>
        <v>-1946938.6551068842</v>
      </c>
      <c r="U38" s="34">
        <f t="shared" si="8"/>
        <v>-1920218.4089179512</v>
      </c>
      <c r="V38" s="34">
        <f t="shared" si="8"/>
        <v>-1893864.8777020469</v>
      </c>
      <c r="W38" s="34">
        <f t="shared" si="8"/>
        <v>-1867873.0285762227</v>
      </c>
      <c r="X38" s="34">
        <f t="shared" si="8"/>
        <v>-1842237.897730004</v>
      </c>
      <c r="Y38" s="34">
        <f t="shared" si="8"/>
        <v>-1816954.5894774254</v>
      </c>
      <c r="Z38" s="34"/>
      <c r="AA38" s="34"/>
      <c r="AB38" s="34"/>
      <c r="AC38" s="34"/>
      <c r="AD38" s="34"/>
      <c r="AE38" s="34"/>
      <c r="AF38" s="34"/>
      <c r="AG38" s="34"/>
      <c r="AH38" s="34"/>
      <c r="AI38" s="34"/>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-1157564.7087884392</v>
      </c>
      <c r="E39" s="34"/>
      <c r="F39" s="34">
        <f t="shared" ref="F39:Y39" si="9">F35*F29</f>
        <v>-120973.94728794023</v>
      </c>
      <c r="G39" s="34">
        <f t="shared" si="9"/>
        <v>-113205.42192135635</v>
      </c>
      <c r="H39" s="34">
        <f t="shared" si="9"/>
        <v>-105642.36819305473</v>
      </c>
      <c r="I39" s="34">
        <f t="shared" si="9"/>
        <v>-98280.366321568697</v>
      </c>
      <c r="J39" s="34">
        <f t="shared" si="9"/>
        <v>-91115.083075012764</v>
      </c>
      <c r="K39" s="34">
        <f t="shared" si="9"/>
        <v>-84142.270164234389</v>
      </c>
      <c r="L39" s="34">
        <f t="shared" si="9"/>
        <v>-77357.762664799506</v>
      </c>
      <c r="M39" s="34">
        <f t="shared" si="9"/>
        <v>-70757.477467306759</v>
      </c>
      <c r="N39" s="34">
        <f t="shared" si="9"/>
        <v>-64337.411755533896</v>
      </c>
      <c r="O39" s="34">
        <f t="shared" si="9"/>
        <v>-58093.641511927461</v>
      </c>
      <c r="P39" s="34">
        <f t="shared" si="9"/>
        <v>-52022.320049956717</v>
      </c>
      <c r="Q39" s="34">
        <f t="shared" si="9"/>
        <v>-46119.676572859767</v>
      </c>
      <c r="R39" s="34">
        <f t="shared" si="9"/>
        <v>-40382.01475831891</v>
      </c>
      <c r="S39" s="34">
        <f t="shared" si="9"/>
        <v>-34805.71136860946</v>
      </c>
      <c r="T39" s="34">
        <f t="shared" si="9"/>
        <v>-29387.21488577488</v>
      </c>
      <c r="U39" s="34">
        <f t="shared" si="9"/>
        <v>-24123.044171388334</v>
      </c>
      <c r="V39" s="34">
        <f t="shared" si="9"/>
        <v>-19009.787150468252</v>
      </c>
      <c r="W39" s="34">
        <f t="shared" si="9"/>
        <v>-14044.099519123547</v>
      </c>
      <c r="X39" s="34">
        <f t="shared" si="9"/>
        <v>-9222.7034755108343</v>
      </c>
      <c r="Y39" s="34">
        <f t="shared" si="9"/>
        <v>-4542.3864736935648</v>
      </c>
      <c r="Z39" s="34"/>
      <c r="AA39" s="34"/>
      <c r="AB39" s="34"/>
      <c r="AC39" s="34"/>
      <c r="AD39" s="34"/>
      <c r="AE39" s="34"/>
      <c r="AF39" s="34"/>
      <c r="AG39" s="34"/>
      <c r="AH39" s="34"/>
      <c r="AI39" s="34"/>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BI43" s="23"/>
      <c r="BJ43" s="24"/>
      <c r="BK43" s="23"/>
      <c r="BL43" s="24"/>
      <c r="BM43" s="23"/>
      <c r="BN43" s="24"/>
      <c r="BO43" s="23"/>
      <c r="BP43" s="24"/>
      <c r="BQ43" s="23"/>
      <c r="BR43" s="24"/>
      <c r="BS43" s="23"/>
      <c r="BT43" s="24"/>
      <c r="BU43" s="23"/>
      <c r="BV43" s="24"/>
      <c r="BW43" s="23"/>
    </row>
    <row r="44" spans="1:75">
      <c r="A44" s="41"/>
      <c r="B44" s="26" t="s">
        <v>28</v>
      </c>
      <c r="C44" s="27"/>
      <c r="D44" s="27">
        <f t="shared" si="3"/>
        <v>-2876318.8021001862</v>
      </c>
      <c r="E44" s="34"/>
      <c r="F44" s="34">
        <f t="shared" ref="F44" si="10">PMT($D$8,$D$12,$D$13)</f>
        <v>-2876318.8021001862</v>
      </c>
      <c r="G44" s="34"/>
      <c r="H44" s="34"/>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-2736209.8021001862</v>
      </c>
      <c r="E45" s="34"/>
      <c r="F45" s="34">
        <f>PPMT($D$8,F43, $D$12,$D$13)</f>
        <v>-2736209.8021001862</v>
      </c>
      <c r="G45" s="34"/>
      <c r="H45" s="34"/>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-140109</v>
      </c>
      <c r="E46" s="27"/>
      <c r="F46" s="34">
        <f>IPMT($D$8, F43, $D$12,$D$13)</f>
        <v>-140109</v>
      </c>
      <c r="G46" s="34"/>
      <c r="H46" s="34"/>
      <c r="I46" s="34"/>
      <c r="J46" s="34"/>
      <c r="K46" s="34"/>
      <c r="L46" s="34"/>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56043600</v>
      </c>
      <c r="F47" s="27">
        <f t="shared" ref="F47" si="11">E47+F45</f>
        <v>53307390.197899811</v>
      </c>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-2483492.4176789448</v>
      </c>
      <c r="E48" s="27"/>
      <c r="F48" s="27">
        <f>F44*F29</f>
        <v>-2483492.4176789448</v>
      </c>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-2362518.4703910048</v>
      </c>
      <c r="E49" s="27"/>
      <c r="F49" s="27">
        <f t="shared" ref="F49" si="12">F45*F29</f>
        <v>-2362518.4703910048</v>
      </c>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-120973.94728794023</v>
      </c>
      <c r="E50" s="27"/>
      <c r="F50" s="27">
        <f t="shared" ref="F50" si="13">F46*F29</f>
        <v>-120973.94728794023</v>
      </c>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G52">
        <v>1</v>
      </c>
      <c r="H52">
        <v>2</v>
      </c>
      <c r="I52">
        <v>3</v>
      </c>
      <c r="J52">
        <v>4</v>
      </c>
      <c r="K52">
        <v>5</v>
      </c>
      <c r="L52">
        <v>6</v>
      </c>
      <c r="BI52" s="23"/>
      <c r="BJ52" s="24"/>
      <c r="BK52" s="23"/>
      <c r="BL52" s="24"/>
      <c r="BM52" s="23"/>
      <c r="BN52" s="24"/>
      <c r="BO52" s="23"/>
      <c r="BP52" s="24"/>
      <c r="BQ52" s="23"/>
      <c r="BR52" s="24"/>
      <c r="BS52" s="23"/>
      <c r="BT52" s="24"/>
      <c r="BU52" s="23"/>
      <c r="BV52" s="24"/>
      <c r="BW52" s="23"/>
    </row>
    <row r="53" spans="1:75">
      <c r="A53" s="41"/>
      <c r="B53" s="26" t="s">
        <v>28</v>
      </c>
      <c r="C53" s="27"/>
      <c r="D53" s="27">
        <f t="shared" si="3"/>
        <v>-17924933.465011571</v>
      </c>
      <c r="E53" s="34"/>
      <c r="F53" s="34"/>
      <c r="G53" s="34">
        <f>PMT($D$8,6,$D$24/3)</f>
        <v>-2987488.9108352619</v>
      </c>
      <c r="H53" s="34">
        <f>PMT($D$8,6,$D$24/3)</f>
        <v>-2987488.9108352619</v>
      </c>
      <c r="I53" s="34">
        <f t="shared" ref="I53:L53" si="14">PMT($D$8,6,$D$24/3)</f>
        <v>-2987488.9108352619</v>
      </c>
      <c r="J53" s="34">
        <f t="shared" si="14"/>
        <v>-2987488.9108352619</v>
      </c>
      <c r="K53" s="34">
        <f t="shared" si="14"/>
        <v>-2987488.9108352619</v>
      </c>
      <c r="L53" s="34">
        <f t="shared" si="14"/>
        <v>-2987488.9108352619</v>
      </c>
      <c r="M53" s="34"/>
      <c r="N53" s="34"/>
      <c r="O53" s="34"/>
      <c r="P53" s="34"/>
      <c r="Q53" s="34"/>
      <c r="R53" s="34"/>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-17769130.065966602</v>
      </c>
      <c r="E54" s="34"/>
      <c r="F54" s="34"/>
      <c r="G54" s="34">
        <f>PPMT($D$8,G52,6,$D$24/3)</f>
        <v>-2943066.0856703455</v>
      </c>
      <c r="H54" s="34">
        <f>PPMT($D$8,H52,6,$D$24/3)</f>
        <v>-2950423.7508845218</v>
      </c>
      <c r="I54" s="34">
        <f t="shared" ref="I54:L54" si="15">PPMT($D$8,I52,6,$D$24/3)</f>
        <v>-2957799.8102617324</v>
      </c>
      <c r="J54" s="34">
        <f t="shared" si="15"/>
        <v>-2965194.3097873866</v>
      </c>
      <c r="K54" s="34">
        <f t="shared" si="15"/>
        <v>-2972607.2955618557</v>
      </c>
      <c r="L54" s="34">
        <f t="shared" si="15"/>
        <v>-2980038.8138007601</v>
      </c>
      <c r="M54" s="34"/>
      <c r="N54" s="34"/>
      <c r="O54" s="34"/>
      <c r="P54" s="34"/>
      <c r="Q54" s="34"/>
      <c r="R54" s="34"/>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-155803.39904496993</v>
      </c>
      <c r="E55" s="27"/>
      <c r="F55" s="27"/>
      <c r="G55" s="34">
        <f>IPMT($D$8,G52,6,$D$24/3)</f>
        <v>-44422.82516491651</v>
      </c>
      <c r="H55" s="34">
        <f t="shared" ref="H55:L55" si="16">IPMT($D$8,H52,6,$D$24/3)</f>
        <v>-37065.159950740643</v>
      </c>
      <c r="I55" s="34">
        <f t="shared" si="16"/>
        <v>-29689.10057352934</v>
      </c>
      <c r="J55" s="34">
        <f t="shared" si="16"/>
        <v>-22294.60104787501</v>
      </c>
      <c r="K55" s="34">
        <f t="shared" si="16"/>
        <v>-14881.615273406538</v>
      </c>
      <c r="L55" s="34">
        <f t="shared" si="16"/>
        <v>-7450.0970345019014</v>
      </c>
      <c r="M55" s="34"/>
      <c r="N55" s="34"/>
      <c r="O55" s="34"/>
      <c r="P55" s="34"/>
      <c r="Q55" s="34"/>
      <c r="R55" s="34"/>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53307390.197899811</v>
      </c>
      <c r="F56" s="27"/>
      <c r="G56" s="27">
        <f>$E$56+G54</f>
        <v>50364324.112229466</v>
      </c>
      <c r="H56" s="27">
        <f>G56+H54</f>
        <v>47413900.361344948</v>
      </c>
      <c r="I56" s="27">
        <f t="shared" ref="I56" si="17">H56+I54</f>
        <v>44456100.551083215</v>
      </c>
      <c r="J56" s="27">
        <f t="shared" ref="J56" si="18">I56+J54</f>
        <v>41490906.241295829</v>
      </c>
      <c r="K56" s="27">
        <f t="shared" ref="K56" si="19">J56+K54</f>
        <v>38518298.945733972</v>
      </c>
      <c r="L56" s="27">
        <f t="shared" ref="L56" si="20">K56+L54</f>
        <v>35538260.131933212</v>
      </c>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-14623485.323799292</v>
      </c>
      <c r="E57" s="27"/>
      <c r="F57" s="27"/>
      <c r="G57" s="27">
        <f>G53*G$29</f>
        <v>-2537734.0093441941</v>
      </c>
      <c r="H57" s="27">
        <f>H53*H$29</f>
        <v>-2496663.888380337</v>
      </c>
      <c r="I57" s="27">
        <f t="shared" ref="I57:L57" si="21">I53*I$29</f>
        <v>-2456258.4370902032</v>
      </c>
      <c r="J57" s="27">
        <f t="shared" si="21"/>
        <v>-2416506.8986080997</v>
      </c>
      <c r="K57" s="27">
        <f t="shared" si="21"/>
        <v>-2377398.6901550493</v>
      </c>
      <c r="L57" s="27">
        <f t="shared" si="21"/>
        <v>-2338923.4002214069</v>
      </c>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-14494655.904839484</v>
      </c>
      <c r="E58" s="27"/>
      <c r="F58" s="27"/>
      <c r="G58" s="27">
        <f>G54*G$29</f>
        <v>-2499998.868703742</v>
      </c>
      <c r="H58" s="27">
        <f t="shared" ref="H58:L58" si="22">H54*H$29</f>
        <v>-2465688.2934482773</v>
      </c>
      <c r="I58" s="27">
        <f t="shared" si="22"/>
        <v>-2431848.604635641</v>
      </c>
      <c r="J58" s="27">
        <f t="shared" si="22"/>
        <v>-2398473.3397090165</v>
      </c>
      <c r="K58" s="27">
        <f t="shared" si="22"/>
        <v>-2365556.1248052432</v>
      </c>
      <c r="L58" s="27">
        <f t="shared" si="22"/>
        <v>-2333090.6735375631</v>
      </c>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-128829.41895980787</v>
      </c>
      <c r="E59" s="27"/>
      <c r="F59" s="27"/>
      <c r="G59" s="27">
        <f>G55*G$29</f>
        <v>-37735.140640452119</v>
      </c>
      <c r="H59" s="27">
        <f t="shared" ref="H59:L59" si="23">H55*H$29</f>
        <v>-30975.594932060365</v>
      </c>
      <c r="I59" s="27">
        <f t="shared" si="23"/>
        <v>-24409.832454562129</v>
      </c>
      <c r="J59" s="27">
        <f t="shared" si="23"/>
        <v>-18033.558899083106</v>
      </c>
      <c r="K59" s="27">
        <f t="shared" si="23"/>
        <v>-11842.565349806247</v>
      </c>
      <c r="L59" s="27">
        <f t="shared" si="23"/>
        <v>-5832.7266838439082</v>
      </c>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M61">
        <v>1</v>
      </c>
      <c r="N61">
        <v>2</v>
      </c>
      <c r="O61">
        <v>3</v>
      </c>
      <c r="P61">
        <v>4</v>
      </c>
      <c r="Q61">
        <v>5</v>
      </c>
      <c r="R61">
        <v>6</v>
      </c>
      <c r="S61">
        <v>7</v>
      </c>
      <c r="T61">
        <v>8</v>
      </c>
      <c r="U61">
        <v>9</v>
      </c>
      <c r="V61">
        <v>10</v>
      </c>
      <c r="W61">
        <v>11</v>
      </c>
      <c r="X61">
        <v>12</v>
      </c>
      <c r="Y61">
        <v>13</v>
      </c>
      <c r="Z61">
        <v>14</v>
      </c>
      <c r="AA61">
        <v>15</v>
      </c>
      <c r="AB61">
        <v>16</v>
      </c>
      <c r="AC61">
        <v>17</v>
      </c>
      <c r="AD61">
        <v>18</v>
      </c>
      <c r="AE61">
        <v>19</v>
      </c>
      <c r="AF61">
        <v>20</v>
      </c>
      <c r="AG61">
        <v>21</v>
      </c>
      <c r="AH61">
        <v>22</v>
      </c>
      <c r="AI61">
        <v>23</v>
      </c>
      <c r="AJ61">
        <v>24</v>
      </c>
      <c r="AK61">
        <v>25</v>
      </c>
      <c r="AL61">
        <v>26</v>
      </c>
      <c r="AM61">
        <v>27</v>
      </c>
      <c r="AN61">
        <v>28</v>
      </c>
      <c r="AO61">
        <v>29</v>
      </c>
      <c r="AP61">
        <v>30</v>
      </c>
      <c r="AQ61">
        <v>31</v>
      </c>
      <c r="AR61">
        <v>32</v>
      </c>
      <c r="AS61">
        <v>33</v>
      </c>
      <c r="AT61">
        <v>34</v>
      </c>
      <c r="AU61">
        <v>35</v>
      </c>
      <c r="AV61">
        <v>36</v>
      </c>
      <c r="AW61">
        <v>37</v>
      </c>
      <c r="AX61">
        <v>38</v>
      </c>
      <c r="AY61">
        <v>39</v>
      </c>
      <c r="AZ61">
        <v>40</v>
      </c>
      <c r="BA61">
        <v>41</v>
      </c>
      <c r="BB61">
        <v>42</v>
      </c>
      <c r="BC61">
        <v>43</v>
      </c>
      <c r="BN61" s="24"/>
      <c r="BO61" s="23"/>
    </row>
    <row r="62" spans="1:75">
      <c r="A62" s="41"/>
      <c r="B62" s="26" t="s">
        <v>28</v>
      </c>
      <c r="C62" s="27"/>
      <c r="D62" s="27">
        <f>SUM(E62:BU62)</f>
        <v>-56439949.32082317</v>
      </c>
      <c r="E62" s="34"/>
      <c r="F62" s="34"/>
      <c r="G62" s="34"/>
      <c r="H62" s="34"/>
      <c r="I62" s="34"/>
      <c r="J62" s="34"/>
      <c r="K62" s="34"/>
      <c r="L62" s="34"/>
      <c r="M62" s="34">
        <f>PMT($D$18,$D$22-$T$32,$E$65)</f>
        <v>-1312556.9609493758</v>
      </c>
      <c r="N62" s="34">
        <f t="shared" ref="N62:BC62" si="24">PMT($D$18,$D$22-$T$32,$E$65)</f>
        <v>-1312556.9609493758</v>
      </c>
      <c r="O62" s="34">
        <f t="shared" si="24"/>
        <v>-1312556.9609493758</v>
      </c>
      <c r="P62" s="34">
        <f t="shared" si="24"/>
        <v>-1312556.9609493758</v>
      </c>
      <c r="Q62" s="34">
        <f t="shared" si="24"/>
        <v>-1312556.9609493758</v>
      </c>
      <c r="R62" s="34">
        <f t="shared" si="24"/>
        <v>-1312556.9609493758</v>
      </c>
      <c r="S62" s="34">
        <f t="shared" si="24"/>
        <v>-1312556.9609493758</v>
      </c>
      <c r="T62" s="34">
        <f t="shared" si="24"/>
        <v>-1312556.9609493758</v>
      </c>
      <c r="U62" s="34">
        <f t="shared" si="24"/>
        <v>-1312556.9609493758</v>
      </c>
      <c r="V62" s="34">
        <f t="shared" si="24"/>
        <v>-1312556.9609493758</v>
      </c>
      <c r="W62" s="34">
        <f t="shared" si="24"/>
        <v>-1312556.9609493758</v>
      </c>
      <c r="X62" s="34">
        <f t="shared" si="24"/>
        <v>-1312556.9609493758</v>
      </c>
      <c r="Y62" s="34">
        <f t="shared" si="24"/>
        <v>-1312556.9609493758</v>
      </c>
      <c r="Z62" s="34">
        <f t="shared" si="24"/>
        <v>-1312556.9609493758</v>
      </c>
      <c r="AA62" s="34">
        <f t="shared" si="24"/>
        <v>-1312556.9609493758</v>
      </c>
      <c r="AB62" s="34">
        <f t="shared" si="24"/>
        <v>-1312556.9609493758</v>
      </c>
      <c r="AC62" s="34">
        <f t="shared" si="24"/>
        <v>-1312556.9609493758</v>
      </c>
      <c r="AD62" s="34">
        <f t="shared" si="24"/>
        <v>-1312556.9609493758</v>
      </c>
      <c r="AE62" s="34">
        <f t="shared" si="24"/>
        <v>-1312556.9609493758</v>
      </c>
      <c r="AF62" s="34">
        <f t="shared" si="24"/>
        <v>-1312556.9609493758</v>
      </c>
      <c r="AG62" s="34">
        <f t="shared" si="24"/>
        <v>-1312556.9609493758</v>
      </c>
      <c r="AH62" s="34">
        <f t="shared" si="24"/>
        <v>-1312556.9609493758</v>
      </c>
      <c r="AI62" s="34">
        <f t="shared" si="24"/>
        <v>-1312556.9609493758</v>
      </c>
      <c r="AJ62" s="34">
        <f t="shared" si="24"/>
        <v>-1312556.9609493758</v>
      </c>
      <c r="AK62" s="34">
        <f t="shared" si="24"/>
        <v>-1312556.9609493758</v>
      </c>
      <c r="AL62" s="34">
        <f t="shared" si="24"/>
        <v>-1312556.9609493758</v>
      </c>
      <c r="AM62" s="34">
        <f t="shared" si="24"/>
        <v>-1312556.9609493758</v>
      </c>
      <c r="AN62" s="34">
        <f t="shared" si="24"/>
        <v>-1312556.9609493758</v>
      </c>
      <c r="AO62" s="34">
        <f t="shared" si="24"/>
        <v>-1312556.9609493758</v>
      </c>
      <c r="AP62" s="34">
        <f t="shared" si="24"/>
        <v>-1312556.9609493758</v>
      </c>
      <c r="AQ62" s="34">
        <f t="shared" si="24"/>
        <v>-1312556.9609493758</v>
      </c>
      <c r="AR62" s="34">
        <f t="shared" si="24"/>
        <v>-1312556.9609493758</v>
      </c>
      <c r="AS62" s="34">
        <f t="shared" si="24"/>
        <v>-1312556.9609493758</v>
      </c>
      <c r="AT62" s="34">
        <f t="shared" si="24"/>
        <v>-1312556.9609493758</v>
      </c>
      <c r="AU62" s="34">
        <f t="shared" si="24"/>
        <v>-1312556.9609493758</v>
      </c>
      <c r="AV62" s="34">
        <f t="shared" si="24"/>
        <v>-1312556.9609493758</v>
      </c>
      <c r="AW62" s="34">
        <f t="shared" si="24"/>
        <v>-1312556.9609493758</v>
      </c>
      <c r="AX62" s="34">
        <f t="shared" si="24"/>
        <v>-1312556.9609493758</v>
      </c>
      <c r="AY62" s="34">
        <f t="shared" si="24"/>
        <v>-1312556.9609493758</v>
      </c>
      <c r="AZ62" s="34">
        <f t="shared" si="24"/>
        <v>-1312556.9609493758</v>
      </c>
      <c r="BA62" s="34">
        <f t="shared" si="24"/>
        <v>-1312556.9609493758</v>
      </c>
      <c r="BB62" s="34">
        <f t="shared" si="24"/>
        <v>-1312556.9609493758</v>
      </c>
      <c r="BC62" s="34">
        <f t="shared" si="24"/>
        <v>-1312556.9609493758</v>
      </c>
      <c r="BD62" s="34"/>
      <c r="BE62" s="34"/>
      <c r="BF62" s="34"/>
      <c r="BG62" s="34"/>
      <c r="BH62" s="34"/>
      <c r="BI62" s="34"/>
      <c r="BJ62" s="34"/>
      <c r="BK62" s="34"/>
      <c r="BL62" s="34"/>
      <c r="BM62" s="34"/>
    </row>
    <row r="63" spans="1:75">
      <c r="A63" s="41"/>
      <c r="B63" s="27"/>
      <c r="C63" s="27" t="s">
        <v>29</v>
      </c>
      <c r="D63" s="27">
        <f>SUM(E63:BU63)</f>
        <v>-35538260.131933212</v>
      </c>
      <c r="E63" s="34"/>
      <c r="F63" s="34"/>
      <c r="G63" s="34"/>
      <c r="H63" s="34"/>
      <c r="I63" s="34"/>
      <c r="J63" s="34"/>
      <c r="K63" s="34"/>
      <c r="L63" s="34"/>
      <c r="M63" s="34">
        <f>PPMT($D$18, M61, $D$23,$E$65)</f>
        <v>-594364.91826842935</v>
      </c>
      <c r="N63" s="34">
        <f t="shared" ref="N63:BC63" si="25">PPMT($D$18, N61, $D$23,$E$65)</f>
        <v>-603280.39204245573</v>
      </c>
      <c r="O63" s="34">
        <f t="shared" si="25"/>
        <v>-612329.59792309243</v>
      </c>
      <c r="P63" s="34">
        <f t="shared" si="25"/>
        <v>-621514.54189193901</v>
      </c>
      <c r="Q63" s="34">
        <f t="shared" si="25"/>
        <v>-630837.26002031809</v>
      </c>
      <c r="R63" s="34">
        <f t="shared" si="25"/>
        <v>-640299.81892062281</v>
      </c>
      <c r="S63" s="34">
        <f t="shared" si="25"/>
        <v>-649904.31620443217</v>
      </c>
      <c r="T63" s="34">
        <f t="shared" si="25"/>
        <v>-659652.8809474986</v>
      </c>
      <c r="U63" s="34">
        <f t="shared" si="25"/>
        <v>-669547.67416171113</v>
      </c>
      <c r="V63" s="34">
        <f t="shared" si="25"/>
        <v>-679590.88927413675</v>
      </c>
      <c r="W63" s="34">
        <f t="shared" si="25"/>
        <v>-689784.75261324889</v>
      </c>
      <c r="X63" s="34">
        <f t="shared" si="25"/>
        <v>-700131.52390244754</v>
      </c>
      <c r="Y63" s="34">
        <f t="shared" si="25"/>
        <v>-710633.49676098418</v>
      </c>
      <c r="Z63" s="34">
        <f t="shared" si="25"/>
        <v>-721292.99921239901</v>
      </c>
      <c r="AA63" s="34">
        <f t="shared" si="25"/>
        <v>-732112.39420058508</v>
      </c>
      <c r="AB63" s="34">
        <f t="shared" si="25"/>
        <v>-743094.08011359384</v>
      </c>
      <c r="AC63" s="34">
        <f t="shared" si="25"/>
        <v>-754240.49131529778</v>
      </c>
      <c r="AD63" s="34">
        <f t="shared" si="25"/>
        <v>-765554.09868502722</v>
      </c>
      <c r="AE63" s="34">
        <f t="shared" si="25"/>
        <v>-777037.41016530246</v>
      </c>
      <c r="AF63" s="34">
        <f t="shared" si="25"/>
        <v>-788692.97131778218</v>
      </c>
      <c r="AG63" s="34">
        <f t="shared" si="25"/>
        <v>-800523.36588754889</v>
      </c>
      <c r="AH63" s="34">
        <f t="shared" si="25"/>
        <v>-812531.21637586202</v>
      </c>
      <c r="AI63" s="34">
        <f t="shared" si="25"/>
        <v>-824719.18462150008</v>
      </c>
      <c r="AJ63" s="34">
        <f t="shared" si="25"/>
        <v>-837089.9723908226</v>
      </c>
      <c r="AK63" s="34">
        <f t="shared" si="25"/>
        <v>-849646.32197668485</v>
      </c>
      <c r="AL63" s="34">
        <f t="shared" si="25"/>
        <v>-862391.01680633519</v>
      </c>
      <c r="AM63" s="34">
        <f t="shared" si="25"/>
        <v>-875326.88205843011</v>
      </c>
      <c r="AN63" s="34">
        <f t="shared" si="25"/>
        <v>-888456.78528930666</v>
      </c>
      <c r="AO63" s="34">
        <f t="shared" si="25"/>
        <v>-901783.63706864615</v>
      </c>
      <c r="AP63" s="34">
        <f t="shared" si="25"/>
        <v>-915310.39162467595</v>
      </c>
      <c r="AQ63" s="34">
        <f t="shared" si="25"/>
        <v>-929040.04749904608</v>
      </c>
      <c r="AR63" s="34">
        <f t="shared" si="25"/>
        <v>-942975.64821153181</v>
      </c>
      <c r="AS63" s="34">
        <f t="shared" si="25"/>
        <v>-957120.28293470468</v>
      </c>
      <c r="AT63" s="34">
        <f t="shared" si="25"/>
        <v>-971477.08717872528</v>
      </c>
      <c r="AU63" s="34">
        <f t="shared" si="25"/>
        <v>-986049.24348640617</v>
      </c>
      <c r="AV63" s="34">
        <f t="shared" si="25"/>
        <v>-1000839.9821387023</v>
      </c>
      <c r="AW63" s="34">
        <f t="shared" si="25"/>
        <v>-1015852.5818707828</v>
      </c>
      <c r="AX63" s="34">
        <f t="shared" si="25"/>
        <v>-1031090.3705988445</v>
      </c>
      <c r="AY63" s="34">
        <f t="shared" si="25"/>
        <v>-1046556.7261578273</v>
      </c>
      <c r="AZ63" s="34">
        <f t="shared" si="25"/>
        <v>-1062255.0770501944</v>
      </c>
      <c r="BA63" s="34">
        <f t="shared" si="25"/>
        <v>-1078188.9032059477</v>
      </c>
      <c r="BB63" s="34">
        <f t="shared" si="25"/>
        <v>-1094361.7367540367</v>
      </c>
      <c r="BC63" s="34">
        <f t="shared" si="25"/>
        <v>-1110777.1628053472</v>
      </c>
      <c r="BD63" s="34"/>
      <c r="BE63" s="34"/>
      <c r="BF63" s="34"/>
      <c r="BG63" s="34"/>
      <c r="BH63" s="34"/>
      <c r="BI63" s="34"/>
      <c r="BJ63" s="34"/>
      <c r="BK63" s="34"/>
      <c r="BL63" s="34"/>
      <c r="BM63" s="34"/>
    </row>
    <row r="64" spans="1:75">
      <c r="A64" s="41"/>
      <c r="B64" s="27"/>
      <c r="C64" s="27" t="s">
        <v>30</v>
      </c>
      <c r="D64" s="27">
        <f>SUM(E64:BU64)</f>
        <v>-12941609.138706172</v>
      </c>
      <c r="E64" s="27"/>
      <c r="F64" s="27"/>
      <c r="G64" s="27"/>
      <c r="H64" s="27"/>
      <c r="I64" s="27"/>
      <c r="J64" s="27"/>
      <c r="K64" s="27"/>
      <c r="L64" s="27"/>
      <c r="M64" s="34">
        <f t="shared" ref="M64:BC64" si="26">IPMT($D$18, M61, $D$23,$E$65)</f>
        <v>-533073.90197899821</v>
      </c>
      <c r="N64" s="34">
        <f t="shared" si="26"/>
        <v>-524158.42820497177</v>
      </c>
      <c r="O64" s="34">
        <f t="shared" si="26"/>
        <v>-515109.2223243349</v>
      </c>
      <c r="P64" s="34">
        <f t="shared" si="26"/>
        <v>-505924.2783554885</v>
      </c>
      <c r="Q64" s="34">
        <f t="shared" si="26"/>
        <v>-496601.56022710947</v>
      </c>
      <c r="R64" s="34">
        <f t="shared" si="26"/>
        <v>-487139.00132680469</v>
      </c>
      <c r="S64" s="34">
        <f t="shared" si="26"/>
        <v>-477534.5040429954</v>
      </c>
      <c r="T64" s="34">
        <f t="shared" si="26"/>
        <v>-467785.93929992884</v>
      </c>
      <c r="U64" s="34">
        <f t="shared" si="26"/>
        <v>-457891.14608571638</v>
      </c>
      <c r="V64" s="34">
        <f t="shared" si="26"/>
        <v>-447847.93097329076</v>
      </c>
      <c r="W64" s="34">
        <f t="shared" si="26"/>
        <v>-437654.06763417862</v>
      </c>
      <c r="X64" s="34">
        <f t="shared" si="26"/>
        <v>-427307.2963449799</v>
      </c>
      <c r="Y64" s="34">
        <f t="shared" si="26"/>
        <v>-416805.3234864432</v>
      </c>
      <c r="Z64" s="34">
        <f t="shared" si="26"/>
        <v>-406145.82103502838</v>
      </c>
      <c r="AA64" s="34">
        <f t="shared" si="26"/>
        <v>-395326.42604684242</v>
      </c>
      <c r="AB64" s="34">
        <f t="shared" si="26"/>
        <v>-384344.74013383366</v>
      </c>
      <c r="AC64" s="34">
        <f t="shared" si="26"/>
        <v>-373198.32893212978</v>
      </c>
      <c r="AD64" s="34">
        <f t="shared" si="26"/>
        <v>-361884.72156240029</v>
      </c>
      <c r="AE64" s="34">
        <f t="shared" si="26"/>
        <v>-350401.41008212487</v>
      </c>
      <c r="AF64" s="34">
        <f t="shared" si="26"/>
        <v>-338745.84892964538</v>
      </c>
      <c r="AG64" s="34">
        <f t="shared" si="26"/>
        <v>-326915.45435987867</v>
      </c>
      <c r="AH64" s="34">
        <f t="shared" si="26"/>
        <v>-314907.60387156537</v>
      </c>
      <c r="AI64" s="34">
        <f t="shared" si="26"/>
        <v>-302719.63562592736</v>
      </c>
      <c r="AJ64" s="34">
        <f t="shared" si="26"/>
        <v>-290348.8478566049</v>
      </c>
      <c r="AK64" s="34">
        <f t="shared" si="26"/>
        <v>-277792.4982707426</v>
      </c>
      <c r="AL64" s="34">
        <f t="shared" si="26"/>
        <v>-265047.80344109237</v>
      </c>
      <c r="AM64" s="34">
        <f t="shared" si="26"/>
        <v>-252111.93818899736</v>
      </c>
      <c r="AN64" s="34">
        <f t="shared" si="26"/>
        <v>-238982.0349581209</v>
      </c>
      <c r="AO64" s="34">
        <f t="shared" si="26"/>
        <v>-225655.1831787813</v>
      </c>
      <c r="AP64" s="34">
        <f t="shared" si="26"/>
        <v>-212128.42862275161</v>
      </c>
      <c r="AQ64" s="34">
        <f t="shared" si="26"/>
        <v>-198398.77274838139</v>
      </c>
      <c r="AR64" s="34">
        <f t="shared" si="26"/>
        <v>-184463.17203589575</v>
      </c>
      <c r="AS64" s="34">
        <f t="shared" si="26"/>
        <v>-170318.53731272276</v>
      </c>
      <c r="AT64" s="34">
        <f t="shared" si="26"/>
        <v>-155961.73306870219</v>
      </c>
      <c r="AU64" s="34">
        <f t="shared" si="26"/>
        <v>-141389.57676102134</v>
      </c>
      <c r="AV64" s="34">
        <f t="shared" si="26"/>
        <v>-126598.83810872523</v>
      </c>
      <c r="AW64" s="34">
        <f t="shared" si="26"/>
        <v>-111586.2383766447</v>
      </c>
      <c r="AX64" s="34">
        <f t="shared" si="26"/>
        <v>-96348.449648582944</v>
      </c>
      <c r="AY64" s="34">
        <f t="shared" si="26"/>
        <v>-80882.094089600287</v>
      </c>
      <c r="AZ64" s="34">
        <f t="shared" si="26"/>
        <v>-65183.743197232892</v>
      </c>
      <c r="BA64" s="34">
        <f t="shared" si="26"/>
        <v>-49249.917041479974</v>
      </c>
      <c r="BB64" s="34">
        <f t="shared" si="26"/>
        <v>-33077.083493390761</v>
      </c>
      <c r="BC64" s="34">
        <f t="shared" si="26"/>
        <v>-16661.657442080206</v>
      </c>
      <c r="BD64" s="34"/>
      <c r="BE64" s="34"/>
      <c r="BF64" s="34"/>
      <c r="BG64" s="34"/>
      <c r="BH64" s="34"/>
      <c r="BI64" s="34"/>
      <c r="BJ64" s="34"/>
      <c r="BK64" s="34"/>
      <c r="BL64" s="34"/>
      <c r="BM64" s="34"/>
    </row>
    <row r="65" spans="1:65">
      <c r="A65" s="41"/>
      <c r="B65" s="33" t="s">
        <v>31</v>
      </c>
      <c r="C65" s="42"/>
      <c r="D65" s="27"/>
      <c r="E65" s="27">
        <f>D24-D24/3</f>
        <v>35538260.131933212</v>
      </c>
      <c r="F65" s="27"/>
      <c r="G65" s="27"/>
      <c r="H65" s="27"/>
      <c r="I65" s="27"/>
      <c r="J65" s="27"/>
      <c r="K65" s="27"/>
      <c r="L65" s="27"/>
      <c r="M65" s="27">
        <f>E65+M63</f>
        <v>34943895.213664785</v>
      </c>
      <c r="N65" s="27">
        <f>M65+N63</f>
        <v>34340614.821622327</v>
      </c>
      <c r="O65" s="27">
        <f t="shared" ref="O65:BC65" si="27">N65+O63</f>
        <v>33728285.223699234</v>
      </c>
      <c r="P65" s="27">
        <f t="shared" si="27"/>
        <v>33106770.681807294</v>
      </c>
      <c r="Q65" s="27">
        <f t="shared" si="27"/>
        <v>32475933.421786975</v>
      </c>
      <c r="R65" s="27">
        <f t="shared" si="27"/>
        <v>31835633.602866352</v>
      </c>
      <c r="S65" s="27">
        <f t="shared" si="27"/>
        <v>31185729.286661919</v>
      </c>
      <c r="T65" s="27">
        <f t="shared" si="27"/>
        <v>30526076.405714422</v>
      </c>
      <c r="U65" s="27">
        <f t="shared" si="27"/>
        <v>29856528.731552713</v>
      </c>
      <c r="V65" s="27">
        <f t="shared" si="27"/>
        <v>29176937.842278577</v>
      </c>
      <c r="W65" s="27">
        <f t="shared" si="27"/>
        <v>28487153.089665327</v>
      </c>
      <c r="X65" s="27">
        <f t="shared" si="27"/>
        <v>27787021.565762881</v>
      </c>
      <c r="Y65" s="27">
        <f t="shared" si="27"/>
        <v>27076388.069001898</v>
      </c>
      <c r="Z65" s="27">
        <f t="shared" si="27"/>
        <v>26355095.069789499</v>
      </c>
      <c r="AA65" s="27">
        <f t="shared" si="27"/>
        <v>25622982.675588913</v>
      </c>
      <c r="AB65" s="27">
        <f t="shared" si="27"/>
        <v>24879888.59547532</v>
      </c>
      <c r="AC65" s="27">
        <f t="shared" si="27"/>
        <v>24125648.104160022</v>
      </c>
      <c r="AD65" s="27">
        <f t="shared" si="27"/>
        <v>23360094.005474996</v>
      </c>
      <c r="AE65" s="27">
        <f t="shared" si="27"/>
        <v>22583056.595309693</v>
      </c>
      <c r="AF65" s="27">
        <f t="shared" si="27"/>
        <v>21794363.62399191</v>
      </c>
      <c r="AG65" s="27">
        <f t="shared" si="27"/>
        <v>20993840.258104362</v>
      </c>
      <c r="AH65" s="27">
        <f t="shared" si="27"/>
        <v>20181309.0417285</v>
      </c>
      <c r="AI65" s="27">
        <f t="shared" si="27"/>
        <v>19356589.857106999</v>
      </c>
      <c r="AJ65" s="27">
        <f t="shared" si="27"/>
        <v>18519499.884716175</v>
      </c>
      <c r="AK65" s="27">
        <f t="shared" si="27"/>
        <v>17669853.562739491</v>
      </c>
      <c r="AL65" s="27">
        <f t="shared" si="27"/>
        <v>16807462.545933157</v>
      </c>
      <c r="AM65" s="27">
        <f t="shared" si="27"/>
        <v>15932135.663874727</v>
      </c>
      <c r="AN65" s="27">
        <f t="shared" si="27"/>
        <v>15043678.878585421</v>
      </c>
      <c r="AO65" s="27">
        <f t="shared" si="27"/>
        <v>14141895.241516775</v>
      </c>
      <c r="AP65" s="27">
        <f t="shared" si="27"/>
        <v>13226584.849892098</v>
      </c>
      <c r="AQ65" s="27">
        <f t="shared" si="27"/>
        <v>12297544.802393053</v>
      </c>
      <c r="AR65" s="27">
        <f t="shared" si="27"/>
        <v>11354569.154181521</v>
      </c>
      <c r="AS65" s="27">
        <f t="shared" si="27"/>
        <v>10397448.871246817</v>
      </c>
      <c r="AT65" s="27">
        <f t="shared" si="27"/>
        <v>9425971.7840680908</v>
      </c>
      <c r="AU65" s="27">
        <f t="shared" si="27"/>
        <v>8439922.5405816846</v>
      </c>
      <c r="AV65" s="27">
        <f t="shared" si="27"/>
        <v>7439082.5584429819</v>
      </c>
      <c r="AW65" s="27">
        <f t="shared" si="27"/>
        <v>6423229.9765721988</v>
      </c>
      <c r="AX65" s="27">
        <f t="shared" si="27"/>
        <v>5392139.6059733545</v>
      </c>
      <c r="AY65" s="27">
        <f t="shared" si="27"/>
        <v>4345582.8798155272</v>
      </c>
      <c r="AZ65" s="27">
        <f t="shared" si="27"/>
        <v>3283327.8027653331</v>
      </c>
      <c r="BA65" s="27">
        <f t="shared" si="27"/>
        <v>2205138.8995593851</v>
      </c>
      <c r="BB65" s="27">
        <f t="shared" si="27"/>
        <v>1110777.1628053484</v>
      </c>
      <c r="BC65" s="27">
        <f t="shared" si="27"/>
        <v>0</v>
      </c>
      <c r="BD65" s="27"/>
      <c r="BE65" s="27"/>
      <c r="BF65" s="27"/>
      <c r="BG65" s="27"/>
      <c r="BH65" s="27"/>
      <c r="BI65" s="27"/>
      <c r="BJ65" s="27"/>
      <c r="BK65" s="27"/>
      <c r="BL65" s="27"/>
      <c r="BM65" s="27"/>
    </row>
    <row r="66" spans="1:65" ht="21">
      <c r="A66" s="43"/>
      <c r="B66" s="26" t="s">
        <v>32</v>
      </c>
      <c r="C66" s="27"/>
      <c r="D66" s="27">
        <f>SUM(E66:BU66)</f>
        <v>-31497065.732411914</v>
      </c>
      <c r="E66" s="27"/>
      <c r="F66" s="27"/>
      <c r="G66" s="27"/>
      <c r="H66" s="27"/>
      <c r="I66" s="27"/>
      <c r="J66" s="27"/>
      <c r="K66" s="27"/>
      <c r="L66" s="27"/>
      <c r="M66" s="27">
        <f>M62*M29</f>
        <v>-1010978.3057531576</v>
      </c>
      <c r="N66" s="27">
        <f t="shared" ref="N66:BC66" si="28">N62*N29</f>
        <v>-994616.85843195184</v>
      </c>
      <c r="O66" s="27">
        <f t="shared" si="28"/>
        <v>-978520.20112347044</v>
      </c>
      <c r="P66" s="27">
        <f t="shared" si="28"/>
        <v>-962684.04852523049</v>
      </c>
      <c r="Q66" s="27">
        <f t="shared" si="28"/>
        <v>-947104.18468712713</v>
      </c>
      <c r="R66" s="27">
        <f t="shared" si="28"/>
        <v>-931776.46188905218</v>
      </c>
      <c r="S66" s="27">
        <f t="shared" si="28"/>
        <v>-916696.79953667382</v>
      </c>
      <c r="T66" s="27">
        <f t="shared" si="28"/>
        <v>-901861.18307508854</v>
      </c>
      <c r="U66" s="27">
        <f t="shared" si="28"/>
        <v>-887265.66292005358</v>
      </c>
      <c r="V66" s="27">
        <f t="shared" si="28"/>
        <v>-872906.35340651637</v>
      </c>
      <c r="W66" s="27">
        <f t="shared" si="28"/>
        <v>-858779.43175416009</v>
      </c>
      <c r="X66" s="27">
        <f t="shared" si="28"/>
        <v>-844881.13704969257</v>
      </c>
      <c r="Y66" s="27">
        <f t="shared" si="28"/>
        <v>-831207.76924560242</v>
      </c>
      <c r="Z66" s="27">
        <f t="shared" si="28"/>
        <v>-817755.68817512156</v>
      </c>
      <c r="AA66" s="27">
        <f t="shared" si="28"/>
        <v>-804521.31258312915</v>
      </c>
      <c r="AB66" s="27">
        <f t="shared" si="28"/>
        <v>-791501.11917273735</v>
      </c>
      <c r="AC66" s="27">
        <f t="shared" si="28"/>
        <v>-778691.64166731015</v>
      </c>
      <c r="AD66" s="27">
        <f t="shared" si="28"/>
        <v>-766089.46988765814</v>
      </c>
      <c r="AE66" s="27">
        <f t="shared" si="28"/>
        <v>-753691.24884417118</v>
      </c>
      <c r="AF66" s="27">
        <f t="shared" si="28"/>
        <v>-741493.67784364324</v>
      </c>
      <c r="AG66" s="27">
        <f t="shared" si="28"/>
        <v>-729493.50961054966</v>
      </c>
      <c r="AH66" s="27">
        <f t="shared" si="28"/>
        <v>-717687.54942254862</v>
      </c>
      <c r="AI66" s="27">
        <f t="shared" si="28"/>
        <v>-706072.65425997204</v>
      </c>
      <c r="AJ66" s="27">
        <f t="shared" si="28"/>
        <v>-694645.73196908063</v>
      </c>
      <c r="AK66" s="27">
        <f t="shared" si="28"/>
        <v>-683403.74043886131</v>
      </c>
      <c r="AL66" s="27">
        <f t="shared" si="28"/>
        <v>-672343.68679114699</v>
      </c>
      <c r="AM66" s="27">
        <f t="shared" si="28"/>
        <v>-661462.62658384256</v>
      </c>
      <c r="AN66" s="27">
        <f t="shared" si="28"/>
        <v>-650757.66302704753</v>
      </c>
      <c r="AO66" s="27">
        <f t="shared" si="28"/>
        <v>-640225.94621186238</v>
      </c>
      <c r="AP66" s="27">
        <f t="shared" si="28"/>
        <v>-629864.6723516772</v>
      </c>
      <c r="AQ66" s="27">
        <f t="shared" si="28"/>
        <v>-619671.08303573937</v>
      </c>
      <c r="AR66" s="27">
        <f t="shared" si="28"/>
        <v>-609642.46449479973</v>
      </c>
      <c r="AS66" s="27">
        <f t="shared" si="28"/>
        <v>-599776.14687864599</v>
      </c>
      <c r="AT66" s="27">
        <f t="shared" si="28"/>
        <v>-590069.50354532537</v>
      </c>
      <c r="AU66" s="27">
        <f t="shared" si="28"/>
        <v>-580519.95036187244</v>
      </c>
      <c r="AV66" s="27">
        <f t="shared" si="28"/>
        <v>-571124.94501635339</v>
      </c>
      <c r="AW66" s="27">
        <f t="shared" si="28"/>
        <v>-561881.98634104314</v>
      </c>
      <c r="AX66" s="27">
        <f t="shared" si="28"/>
        <v>-552788.61364655721</v>
      </c>
      <c r="AY66" s="27">
        <f t="shared" si="28"/>
        <v>-543842.40606675902</v>
      </c>
      <c r="AZ66" s="27">
        <f t="shared" si="28"/>
        <v>-535040.98191426927</v>
      </c>
      <c r="BA66" s="27">
        <f t="shared" si="28"/>
        <v>-526381.99804640585</v>
      </c>
      <c r="BB66" s="27">
        <f t="shared" si="28"/>
        <v>-517863.14924138505</v>
      </c>
      <c r="BC66" s="27">
        <f t="shared" si="28"/>
        <v>-509482.16758461786</v>
      </c>
      <c r="BD66" s="27"/>
      <c r="BE66" s="27"/>
      <c r="BF66" s="27"/>
      <c r="BG66" s="27"/>
      <c r="BH66" s="27"/>
      <c r="BI66" s="27"/>
      <c r="BJ66" s="27"/>
      <c r="BK66" s="27"/>
      <c r="BL66" s="27"/>
      <c r="BM66" s="27"/>
    </row>
    <row r="67" spans="1:65">
      <c r="A67" s="27"/>
      <c r="B67" s="27"/>
      <c r="C67" s="27" t="s">
        <v>29</v>
      </c>
      <c r="D67" s="27">
        <f>SUM(E67:BU67)</f>
        <v>-19107061.869778037</v>
      </c>
      <c r="E67" s="27"/>
      <c r="F67" s="27"/>
      <c r="G67" s="27"/>
      <c r="H67" s="27"/>
      <c r="I67" s="27"/>
      <c r="J67" s="27"/>
      <c r="K67" s="27"/>
      <c r="L67" s="27"/>
      <c r="M67" s="27">
        <f>M63*M29</f>
        <v>-457801.11335930548</v>
      </c>
      <c r="N67" s="27">
        <f t="shared" ref="N67:BC67" si="29">N63*N29</f>
        <v>-457148.04472398543</v>
      </c>
      <c r="O67" s="27">
        <f t="shared" si="29"/>
        <v>-456495.90771296667</v>
      </c>
      <c r="P67" s="27">
        <f t="shared" si="29"/>
        <v>-455844.70099725644</v>
      </c>
      <c r="Q67" s="27">
        <f t="shared" si="29"/>
        <v>-455194.42324975674</v>
      </c>
      <c r="R67" s="27">
        <f t="shared" si="29"/>
        <v>-454545.07314526342</v>
      </c>
      <c r="S67" s="27">
        <f t="shared" si="29"/>
        <v>-453896.64936046273</v>
      </c>
      <c r="T67" s="27">
        <f t="shared" si="29"/>
        <v>-453249.15057392849</v>
      </c>
      <c r="U67" s="27">
        <f t="shared" si="29"/>
        <v>-452602.57546611974</v>
      </c>
      <c r="V67" s="27">
        <f t="shared" si="29"/>
        <v>-451956.92271937773</v>
      </c>
      <c r="W67" s="27">
        <f t="shared" si="29"/>
        <v>-451312.19101792347</v>
      </c>
      <c r="X67" s="27">
        <f t="shared" si="29"/>
        <v>-450668.37904785498</v>
      </c>
      <c r="Y67" s="27">
        <f t="shared" si="29"/>
        <v>-450025.48549714475</v>
      </c>
      <c r="Z67" s="27">
        <f t="shared" si="29"/>
        <v>-449383.50905563665</v>
      </c>
      <c r="AA67" s="27">
        <f t="shared" si="29"/>
        <v>-448742.44841504382</v>
      </c>
      <c r="AB67" s="27">
        <f t="shared" si="29"/>
        <v>-448102.3022689452</v>
      </c>
      <c r="AC67" s="27">
        <f t="shared" si="29"/>
        <v>-447463.06931278412</v>
      </c>
      <c r="AD67" s="27">
        <f t="shared" si="29"/>
        <v>-446824.74824386433</v>
      </c>
      <c r="AE67" s="27">
        <f t="shared" si="29"/>
        <v>-446187.33776134776</v>
      </c>
      <c r="AF67" s="27">
        <f t="shared" si="29"/>
        <v>-445550.83656625322</v>
      </c>
      <c r="AG67" s="27">
        <f t="shared" si="29"/>
        <v>-444915.24336145108</v>
      </c>
      <c r="AH67" s="27">
        <f t="shared" si="29"/>
        <v>-444280.55685166293</v>
      </c>
      <c r="AI67" s="27">
        <f t="shared" si="29"/>
        <v>-443646.77574345801</v>
      </c>
      <c r="AJ67" s="27">
        <f t="shared" si="29"/>
        <v>-443013.89874525048</v>
      </c>
      <c r="AK67" s="27">
        <f t="shared" si="29"/>
        <v>-442381.9245672971</v>
      </c>
      <c r="AL67" s="27">
        <f t="shared" si="29"/>
        <v>-441750.85192169482</v>
      </c>
      <c r="AM67" s="27">
        <f t="shared" si="29"/>
        <v>-441120.67952237686</v>
      </c>
      <c r="AN67" s="27">
        <f t="shared" si="29"/>
        <v>-440491.40608511242</v>
      </c>
      <c r="AO67" s="27">
        <f t="shared" si="29"/>
        <v>-439863.03032750165</v>
      </c>
      <c r="AP67" s="27">
        <f t="shared" si="29"/>
        <v>-439235.55096897454</v>
      </c>
      <c r="AQ67" s="27">
        <f t="shared" si="29"/>
        <v>-438608.96673078771</v>
      </c>
      <c r="AR67" s="27">
        <f t="shared" si="29"/>
        <v>-437983.2763360219</v>
      </c>
      <c r="AS67" s="27">
        <f t="shared" si="29"/>
        <v>-437358.47850957961</v>
      </c>
      <c r="AT67" s="27">
        <f t="shared" si="29"/>
        <v>-436734.57197818218</v>
      </c>
      <c r="AU67" s="27">
        <f t="shared" si="29"/>
        <v>-436111.55547036731</v>
      </c>
      <c r="AV67" s="27">
        <f t="shared" si="29"/>
        <v>-435489.42771648651</v>
      </c>
      <c r="AW67" s="27">
        <f t="shared" si="29"/>
        <v>-434868.18744870264</v>
      </c>
      <c r="AX67" s="27">
        <f t="shared" si="29"/>
        <v>-434247.83340098686</v>
      </c>
      <c r="AY67" s="27">
        <f t="shared" si="29"/>
        <v>-433628.36430911673</v>
      </c>
      <c r="AZ67" s="27">
        <f t="shared" si="29"/>
        <v>-433009.77891067276</v>
      </c>
      <c r="BA67" s="27">
        <f t="shared" si="29"/>
        <v>-432392.07594503713</v>
      </c>
      <c r="BB67" s="27">
        <f t="shared" si="29"/>
        <v>-431775.25415338937</v>
      </c>
      <c r="BC67" s="27">
        <f t="shared" si="29"/>
        <v>-431159.31227870524</v>
      </c>
      <c r="BD67" s="27"/>
      <c r="BE67" s="27"/>
      <c r="BF67" s="27"/>
      <c r="BG67" s="27"/>
      <c r="BH67" s="27"/>
      <c r="BI67" s="27"/>
      <c r="BJ67" s="27"/>
      <c r="BK67" s="27"/>
      <c r="BL67" s="27"/>
      <c r="BM67" s="27"/>
    </row>
    <row r="68" spans="1:65">
      <c r="A68" s="27"/>
      <c r="B68" s="27"/>
      <c r="C68" s="27" t="s">
        <v>30</v>
      </c>
      <c r="D68" s="27">
        <f>SUM(E68:BU68)</f>
        <v>-7947775.1293880455</v>
      </c>
      <c r="E68" s="27"/>
      <c r="F68" s="27"/>
      <c r="G68" s="27"/>
      <c r="H68" s="27"/>
      <c r="I68" s="27"/>
      <c r="J68" s="27"/>
      <c r="K68" s="27"/>
      <c r="L68" s="27"/>
      <c r="M68" s="27">
        <f>M64*M29</f>
        <v>-410592.58096817817</v>
      </c>
      <c r="N68" s="27">
        <f t="shared" ref="N68:BC68" si="30">N64*N29</f>
        <v>-397191.75981876976</v>
      </c>
      <c r="O68" s="27">
        <f t="shared" si="30"/>
        <v>-384017.45206149819</v>
      </c>
      <c r="P68" s="27">
        <f t="shared" si="30"/>
        <v>-371065.97810596065</v>
      </c>
      <c r="Q68" s="27">
        <f t="shared" si="30"/>
        <v>-358333.71793103626</v>
      </c>
      <c r="R68" s="27">
        <f t="shared" si="30"/>
        <v>-345817.11012080265</v>
      </c>
      <c r="S68" s="27">
        <f t="shared" si="30"/>
        <v>-333512.65091605461</v>
      </c>
      <c r="T68" s="27">
        <f t="shared" si="30"/>
        <v>-321416.89328117232</v>
      </c>
      <c r="U68" s="27">
        <f t="shared" si="30"/>
        <v>-309526.44598609215</v>
      </c>
      <c r="V68" s="27">
        <f t="shared" si="30"/>
        <v>-297837.97270313383</v>
      </c>
      <c r="W68" s="27">
        <f t="shared" si="30"/>
        <v>-286348.19111844461</v>
      </c>
      <c r="X68" s="27">
        <f t="shared" si="30"/>
        <v>-275053.87205782451</v>
      </c>
      <c r="Y68" s="27">
        <f t="shared" si="30"/>
        <v>-263951.83862669748</v>
      </c>
      <c r="Z68" s="27">
        <f t="shared" si="30"/>
        <v>-253038.96536400245</v>
      </c>
      <c r="AA68" s="27">
        <f t="shared" si="30"/>
        <v>-242312.1774097771</v>
      </c>
      <c r="AB68" s="27">
        <f t="shared" si="30"/>
        <v>-231768.44968621316</v>
      </c>
      <c r="AC68" s="27">
        <f t="shared" si="30"/>
        <v>-221404.80609196617</v>
      </c>
      <c r="AD68" s="27">
        <f t="shared" si="30"/>
        <v>-211218.31870950307</v>
      </c>
      <c r="AE68" s="27">
        <f t="shared" si="30"/>
        <v>-201206.10702527917</v>
      </c>
      <c r="AF68" s="27">
        <f t="shared" si="30"/>
        <v>-191365.33716253526</v>
      </c>
      <c r="AG68" s="27">
        <f t="shared" si="30"/>
        <v>-181693.22112651035</v>
      </c>
      <c r="AH68" s="27">
        <f t="shared" si="30"/>
        <v>-172187.01606187076</v>
      </c>
      <c r="AI68" s="27">
        <f t="shared" si="30"/>
        <v>-162844.02352215629</v>
      </c>
      <c r="AJ68" s="27">
        <f t="shared" si="30"/>
        <v>-153661.58875104968</v>
      </c>
      <c r="AK68" s="27">
        <f t="shared" si="30"/>
        <v>-144637.09997527758</v>
      </c>
      <c r="AL68" s="27">
        <f t="shared" si="30"/>
        <v>-135767.98770895586</v>
      </c>
      <c r="AM68" s="27">
        <f t="shared" si="30"/>
        <v>-127051.72406919218</v>
      </c>
      <c r="AN68" s="27">
        <f t="shared" si="30"/>
        <v>-118485.82210276602</v>
      </c>
      <c r="AO68" s="27">
        <f t="shared" si="30"/>
        <v>-110067.83512370438</v>
      </c>
      <c r="AP68" s="27">
        <f t="shared" si="30"/>
        <v>-101795.35606157887</v>
      </c>
      <c r="AQ68" s="27">
        <f t="shared" si="30"/>
        <v>-93666.016820349483</v>
      </c>
      <c r="AR68" s="27">
        <f t="shared" si="30"/>
        <v>-85677.487647584901</v>
      </c>
      <c r="AS68" s="27">
        <f t="shared" si="30"/>
        <v>-77827.476513891059</v>
      </c>
      <c r="AT68" s="27">
        <f t="shared" si="30"/>
        <v>-70113.72850238315</v>
      </c>
      <c r="AU68" s="27">
        <f t="shared" si="30"/>
        <v>-62534.025208038191</v>
      </c>
      <c r="AV68" s="27">
        <f t="shared" si="30"/>
        <v>-55086.184146768326</v>
      </c>
      <c r="AW68" s="27">
        <f t="shared" si="30"/>
        <v>-47768.058174057784</v>
      </c>
      <c r="AX68" s="27">
        <f t="shared" si="30"/>
        <v>-40577.53491300824</v>
      </c>
      <c r="AY68" s="27">
        <f t="shared" si="30"/>
        <v>-33512.536191640946</v>
      </c>
      <c r="AZ68" s="27">
        <f t="shared" si="30"/>
        <v>-26571.01748930513</v>
      </c>
      <c r="BA68" s="27">
        <f t="shared" si="30"/>
        <v>-19750.967392045881</v>
      </c>
      <c r="BB68" s="27">
        <f t="shared" si="30"/>
        <v>-13050.407056786193</v>
      </c>
      <c r="BC68" s="27">
        <f t="shared" si="30"/>
        <v>-6467.3896841805781</v>
      </c>
      <c r="BD68" s="27"/>
      <c r="BE68" s="27"/>
      <c r="BF68" s="27"/>
      <c r="BG68" s="27"/>
      <c r="BH68" s="27"/>
      <c r="BI68" s="27"/>
      <c r="BJ68" s="27"/>
      <c r="BK68" s="27"/>
      <c r="BL68" s="27"/>
      <c r="BM68" s="27"/>
    </row>
    <row r="69" spans="1:65">
      <c r="G69" s="45"/>
      <c r="J69" s="46"/>
    </row>
    <row r="70" spans="1:65">
      <c r="A70" s="24"/>
      <c r="C70" s="47"/>
      <c r="D70" s="47"/>
      <c r="E70" s="47"/>
      <c r="F70" s="47"/>
      <c r="G70" s="45"/>
    </row>
    <row r="71" spans="1:65">
      <c r="A71" s="24"/>
      <c r="C71" s="47"/>
      <c r="D71" s="47"/>
      <c r="E71" s="47"/>
      <c r="F71" s="47"/>
      <c r="G71" s="45"/>
      <c r="J71" s="48"/>
    </row>
    <row r="72" spans="1:65">
      <c r="A72" s="24"/>
      <c r="C72" s="47"/>
      <c r="D72" s="47"/>
      <c r="E72" s="47"/>
      <c r="F72" s="47"/>
      <c r="G72" s="45"/>
    </row>
    <row r="73" spans="1:65">
      <c r="A73" s="24"/>
      <c r="C73" s="47"/>
      <c r="D73" s="47"/>
      <c r="E73" s="47"/>
      <c r="F73" s="47"/>
      <c r="G73" s="45"/>
      <c r="J73" s="45"/>
    </row>
    <row r="74" spans="1:65">
      <c r="A74" s="24"/>
      <c r="C74" s="47"/>
      <c r="D74" s="47"/>
      <c r="E74" s="47"/>
      <c r="F74" s="47"/>
      <c r="G74" s="45"/>
    </row>
    <row r="75" spans="1:65">
      <c r="A75" s="24"/>
      <c r="C75" s="47"/>
      <c r="D75" s="47"/>
      <c r="E75" s="47"/>
      <c r="F75" s="47"/>
      <c r="G75" s="45"/>
    </row>
    <row r="76" spans="1:65">
      <c r="A76" s="24"/>
      <c r="C76" s="47"/>
      <c r="D76" s="47"/>
      <c r="E76" s="47"/>
      <c r="F76" s="47"/>
      <c r="G76" s="45"/>
    </row>
    <row r="77" spans="1:65">
      <c r="A77" s="24"/>
      <c r="C77" s="47"/>
      <c r="D77" s="47"/>
      <c r="E77" s="47"/>
      <c r="F77" s="47"/>
      <c r="G77" s="45"/>
    </row>
    <row r="78" spans="1:65">
      <c r="A78" s="24"/>
      <c r="C78" s="47"/>
      <c r="D78" s="47"/>
      <c r="E78" s="47"/>
      <c r="F78" s="47"/>
      <c r="G78" s="45"/>
    </row>
    <row r="79" spans="1:65">
      <c r="A79" s="24"/>
      <c r="C79" s="47"/>
      <c r="D79" s="47"/>
      <c r="E79" s="47"/>
      <c r="F79" s="47"/>
      <c r="G79" s="45"/>
    </row>
    <row r="80" spans="1:65">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5B9A-FD84-1C46-92ED-E8D2499E9956}">
  <sheetPr>
    <tabColor rgb="FF7030A0"/>
  </sheetPr>
  <dimension ref="A1:CB91"/>
  <sheetViews>
    <sheetView topLeftCell="A4" zoomScale="70" zoomScaleNormal="70" workbookViewId="0">
      <pane xSplit="5" ySplit="27" topLeftCell="F40" activePane="bottomRight" state="frozen"/>
      <selection activeCell="A26" sqref="A26:A28"/>
      <selection pane="topRight" activeCell="A26" sqref="A26:A28"/>
      <selection pane="bottomLeft" activeCell="A26" sqref="A26:A28"/>
      <selection pane="bottomRight" activeCell="E18" sqref="E18"/>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67</v>
      </c>
    </row>
    <row r="5" spans="1:7" ht="21">
      <c r="A5" s="1"/>
    </row>
    <row r="6" spans="1:7" ht="21">
      <c r="A6" s="347" t="s">
        <v>1</v>
      </c>
      <c r="B6" s="348"/>
      <c r="C6" s="348"/>
      <c r="D6" s="349"/>
      <c r="F6" s="321" t="s">
        <v>2</v>
      </c>
      <c r="G6" s="322"/>
    </row>
    <row r="7" spans="1:7">
      <c r="A7" s="257" t="s">
        <v>3</v>
      </c>
      <c r="B7" s="263"/>
      <c r="C7" s="263"/>
      <c r="D7" s="295">
        <f>Data!D10</f>
        <v>2013</v>
      </c>
      <c r="F7" s="6" t="s">
        <v>4</v>
      </c>
      <c r="G7" s="7">
        <f>D13</f>
        <v>54800000</v>
      </c>
    </row>
    <row r="8" spans="1:7">
      <c r="A8" s="257" t="s">
        <v>5</v>
      </c>
      <c r="B8" s="263"/>
      <c r="C8" s="263"/>
      <c r="D8" s="296">
        <f>Data!F10</f>
        <v>2.5000000000000001E-3</v>
      </c>
      <c r="F8" s="6" t="s">
        <v>6</v>
      </c>
      <c r="G8" s="9">
        <f>D33*-1</f>
        <v>56110707.142887428</v>
      </c>
    </row>
    <row r="9" spans="1:7">
      <c r="A9" s="257" t="s">
        <v>7</v>
      </c>
      <c r="B9" s="263"/>
      <c r="C9" s="263"/>
      <c r="D9" s="260">
        <f>Data!G10</f>
        <v>4</v>
      </c>
      <c r="F9" s="11" t="s">
        <v>8</v>
      </c>
      <c r="G9" s="12">
        <f>D37*-1</f>
        <v>46686125.778261527</v>
      </c>
    </row>
    <row r="10" spans="1:7">
      <c r="A10" s="257" t="s">
        <v>9</v>
      </c>
      <c r="B10" s="263"/>
      <c r="C10" s="263"/>
      <c r="D10" s="260">
        <f>Data!E10</f>
        <v>13</v>
      </c>
    </row>
    <row r="11" spans="1:7">
      <c r="A11" s="257" t="s">
        <v>10</v>
      </c>
      <c r="B11" s="263"/>
      <c r="C11" s="263"/>
      <c r="D11" s="260">
        <v>2</v>
      </c>
      <c r="F11" s="321" t="s">
        <v>11</v>
      </c>
      <c r="G11" s="322"/>
    </row>
    <row r="12" spans="1:7">
      <c r="A12" s="257" t="s">
        <v>12</v>
      </c>
      <c r="B12" s="263"/>
      <c r="C12" s="263"/>
      <c r="D12" s="260">
        <f>(D10-D9)*2</f>
        <v>18</v>
      </c>
      <c r="F12" s="6" t="s">
        <v>4</v>
      </c>
      <c r="G12" s="7">
        <f>D13</f>
        <v>54800000</v>
      </c>
    </row>
    <row r="13" spans="1:7">
      <c r="A13" s="257" t="s">
        <v>79</v>
      </c>
      <c r="B13" s="263"/>
      <c r="C13" s="263"/>
      <c r="D13" s="297">
        <f>Data!B10</f>
        <v>54800000</v>
      </c>
      <c r="F13" s="6" t="s">
        <v>31</v>
      </c>
      <c r="G13" s="9">
        <f>D24</f>
        <v>45836844.88824147</v>
      </c>
    </row>
    <row r="14" spans="1:7">
      <c r="A14" s="298" t="s">
        <v>15</v>
      </c>
      <c r="B14" s="261"/>
      <c r="C14" s="261"/>
      <c r="D14" s="299">
        <v>2.1299999999999999E-2</v>
      </c>
      <c r="F14" s="6" t="s">
        <v>6</v>
      </c>
      <c r="G14" s="9">
        <f>(D44+D53+D62)*-1</f>
        <v>70815942.799030215</v>
      </c>
    </row>
    <row r="15" spans="1:7">
      <c r="A15" s="263"/>
      <c r="B15" s="263"/>
      <c r="C15" s="263"/>
      <c r="D15" s="263"/>
      <c r="E15" s="16"/>
      <c r="F15" s="11" t="s">
        <v>8</v>
      </c>
      <c r="G15" s="12">
        <f>(D48+D57+D66)*-1</f>
        <v>52972176.32553377</v>
      </c>
    </row>
    <row r="16" spans="1:7" ht="20.399999999999999">
      <c r="A16" s="350" t="s">
        <v>16</v>
      </c>
      <c r="B16" s="351"/>
      <c r="C16" s="351"/>
      <c r="D16" s="352"/>
      <c r="E16" s="16"/>
      <c r="F16" s="16"/>
    </row>
    <row r="17" spans="1:80">
      <c r="A17" s="257" t="s">
        <v>17</v>
      </c>
      <c r="B17" s="263"/>
      <c r="C17" s="263"/>
      <c r="D17" s="300">
        <f>Data!H10</f>
        <v>2019</v>
      </c>
      <c r="E17" s="16"/>
      <c r="F17" s="323" t="s">
        <v>109</v>
      </c>
      <c r="G17" s="324"/>
      <c r="H17" s="120"/>
    </row>
    <row r="18" spans="1:80">
      <c r="A18" s="257" t="s">
        <v>5</v>
      </c>
      <c r="B18" s="263"/>
      <c r="C18" s="263"/>
      <c r="D18" s="259">
        <f>Data!N10</f>
        <v>1.4999999999999999E-2</v>
      </c>
      <c r="E18" s="16"/>
      <c r="F18" s="121" t="s">
        <v>44</v>
      </c>
      <c r="G18" s="118" t="s">
        <v>45</v>
      </c>
      <c r="H18" s="58"/>
    </row>
    <row r="19" spans="1:80">
      <c r="A19" s="257" t="s">
        <v>7</v>
      </c>
      <c r="B19" s="263"/>
      <c r="C19" s="263"/>
      <c r="D19" s="260">
        <f>Data!O10</f>
        <v>4</v>
      </c>
      <c r="E19" s="16"/>
      <c r="F19" s="119">
        <f>(1-((D8/D11)/D25))*(1-(((1/((1+D25)^(D11*D9)))-(1/((1+D25)^(D11*D10))))/(D25*(D11*D10-D11*D9))))</f>
        <v>0.32491816195560769</v>
      </c>
      <c r="G19" s="122">
        <f>(1-((D18/D21)/D25))*(1-(((1/((1+D25)^(D21*D19)))-(1/((1+D25)^(D21*D20))))/(D25*(D21*D20-D21*D19))))</f>
        <v>0.36287602724746226</v>
      </c>
    </row>
    <row r="20" spans="1:80">
      <c r="A20" s="257" t="s">
        <v>9</v>
      </c>
      <c r="B20" s="263"/>
      <c r="C20" s="263"/>
      <c r="D20" s="260">
        <f>Data!M10</f>
        <v>28</v>
      </c>
      <c r="E20" s="16"/>
      <c r="F20" s="16"/>
    </row>
    <row r="21" spans="1:80">
      <c r="A21" s="257" t="s">
        <v>10</v>
      </c>
      <c r="B21" s="263"/>
      <c r="C21" s="263"/>
      <c r="D21" s="260">
        <v>2</v>
      </c>
      <c r="E21" s="16"/>
      <c r="F21" s="16"/>
    </row>
    <row r="22" spans="1:80">
      <c r="A22" s="257" t="s">
        <v>12</v>
      </c>
      <c r="B22" s="263"/>
      <c r="C22" s="263"/>
      <c r="D22" s="260">
        <f>(D20-D19)*2</f>
        <v>48</v>
      </c>
      <c r="E22" s="16"/>
      <c r="F22" s="16"/>
    </row>
    <row r="23" spans="1:80">
      <c r="A23" s="257" t="s">
        <v>42</v>
      </c>
      <c r="B23" s="263"/>
      <c r="C23" s="263"/>
      <c r="D23" s="309">
        <f>D22-'ROC - Outstanding Balances'!O69-6</f>
        <v>39</v>
      </c>
      <c r="E23" s="16"/>
      <c r="F23" s="16"/>
    </row>
    <row r="24" spans="1:80">
      <c r="A24" s="257" t="s">
        <v>261</v>
      </c>
      <c r="B24" s="263"/>
      <c r="C24" s="263"/>
      <c r="D24" s="301">
        <f>Data!L10</f>
        <v>45836844.88824147</v>
      </c>
      <c r="E24" s="16"/>
      <c r="F24" s="16"/>
    </row>
    <row r="25" spans="1:80">
      <c r="A25" s="196" t="s">
        <v>187</v>
      </c>
      <c r="B25" s="14"/>
      <c r="C25" s="14"/>
      <c r="D25" s="195">
        <f>(1.05^0.5)-1</f>
        <v>2.4695076595959931E-2</v>
      </c>
      <c r="E25" s="16"/>
      <c r="F25" s="16"/>
    </row>
    <row r="26" spans="1:80" s="19" customFormat="1" ht="46.8">
      <c r="A26" s="302" t="s">
        <v>43</v>
      </c>
      <c r="E26" s="20"/>
      <c r="F26" s="51"/>
      <c r="H26" s="21" t="s">
        <v>19</v>
      </c>
      <c r="L26" s="51"/>
      <c r="N26" s="21" t="s">
        <v>20</v>
      </c>
      <c r="R26" s="51"/>
      <c r="T26" s="51"/>
      <c r="W26" s="21" t="s">
        <v>21</v>
      </c>
      <c r="Y26" s="51"/>
      <c r="AA26" s="51"/>
      <c r="AD26" s="51"/>
      <c r="AI26" s="51"/>
      <c r="BA26" s="21" t="s">
        <v>22</v>
      </c>
      <c r="BC26" s="51"/>
      <c r="BE26" s="51"/>
      <c r="BH26" s="51"/>
      <c r="BM26" s="51"/>
      <c r="BO26" s="51"/>
    </row>
    <row r="27" spans="1:80">
      <c r="A27" s="262" t="s">
        <v>23</v>
      </c>
      <c r="D27" s="2"/>
      <c r="E27" s="23" t="s">
        <v>88</v>
      </c>
      <c r="F27" s="24">
        <v>43100</v>
      </c>
      <c r="G27" s="24">
        <v>43281</v>
      </c>
      <c r="H27" s="24">
        <v>43465</v>
      </c>
      <c r="I27" s="24">
        <v>43646</v>
      </c>
      <c r="J27" s="24">
        <v>43830</v>
      </c>
      <c r="K27" s="24">
        <v>44012</v>
      </c>
      <c r="L27" s="24">
        <v>44196</v>
      </c>
      <c r="M27" s="24">
        <v>44377</v>
      </c>
      <c r="N27" s="24">
        <v>44561</v>
      </c>
      <c r="O27" s="24">
        <v>44742</v>
      </c>
      <c r="P27" s="24">
        <v>44926</v>
      </c>
      <c r="Q27" s="24">
        <v>45107</v>
      </c>
      <c r="R27" s="24">
        <v>45291</v>
      </c>
      <c r="S27" s="24">
        <v>45473</v>
      </c>
      <c r="T27" s="24">
        <v>45657</v>
      </c>
      <c r="U27" s="24">
        <v>45838</v>
      </c>
      <c r="V27" s="24">
        <v>46022</v>
      </c>
      <c r="W27" s="24">
        <v>46203</v>
      </c>
      <c r="X27" s="24">
        <v>46387</v>
      </c>
      <c r="Y27" s="24">
        <v>46568</v>
      </c>
      <c r="Z27" s="24">
        <v>46752</v>
      </c>
      <c r="AA27" s="24">
        <v>46934</v>
      </c>
      <c r="AB27" s="24">
        <v>47118</v>
      </c>
      <c r="AC27" s="24">
        <v>47299</v>
      </c>
      <c r="AD27" s="24">
        <v>47483</v>
      </c>
      <c r="AE27" s="24">
        <v>47664</v>
      </c>
      <c r="AF27" s="24">
        <v>47848</v>
      </c>
      <c r="AG27" s="24">
        <v>48029</v>
      </c>
      <c r="AH27" s="24">
        <v>48213</v>
      </c>
      <c r="AI27" s="24">
        <v>48395</v>
      </c>
      <c r="AJ27" s="24">
        <v>48579</v>
      </c>
      <c r="AK27" s="24">
        <v>48760</v>
      </c>
      <c r="AL27" s="24">
        <v>48944</v>
      </c>
      <c r="AM27" s="24">
        <v>49125</v>
      </c>
      <c r="AN27" s="24">
        <v>49309</v>
      </c>
      <c r="AO27" s="24">
        <v>49490</v>
      </c>
      <c r="AP27" s="24">
        <v>49674</v>
      </c>
      <c r="AQ27" s="24">
        <v>49856</v>
      </c>
      <c r="AR27" s="24">
        <v>50040</v>
      </c>
      <c r="AS27" s="24">
        <v>50221</v>
      </c>
      <c r="AT27" s="24">
        <v>50405</v>
      </c>
      <c r="AU27" s="24">
        <v>50586</v>
      </c>
      <c r="AV27" s="24">
        <v>50770</v>
      </c>
      <c r="AW27" s="24">
        <v>50951</v>
      </c>
      <c r="AX27" s="24">
        <v>51135</v>
      </c>
      <c r="AY27" s="24">
        <v>51317</v>
      </c>
      <c r="AZ27" s="24">
        <v>51501</v>
      </c>
      <c r="BA27" s="24">
        <v>51682</v>
      </c>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row>
    <row r="28" spans="1:80">
      <c r="A28" s="262" t="s">
        <v>38</v>
      </c>
      <c r="D28" s="2"/>
      <c r="E28" s="23"/>
      <c r="F28" s="54">
        <f>(D9*2)+1</f>
        <v>9</v>
      </c>
      <c r="G28" s="54">
        <f>F28+1</f>
        <v>10</v>
      </c>
      <c r="H28" s="54">
        <f t="shared" ref="H28:BA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c r="A29" s="2" t="s">
        <v>26</v>
      </c>
      <c r="E29" s="25"/>
      <c r="F29" s="25">
        <f>1/(1+($D14/$D11))^F28</f>
        <v>0.90906089677404989</v>
      </c>
      <c r="G29" s="25">
        <f t="shared" ref="G29:BA29" si="1">1/(1+($D14/$D11))^G28</f>
        <v>0.89948141965472717</v>
      </c>
      <c r="H29" s="25">
        <f t="shared" si="1"/>
        <v>0.89000288888806911</v>
      </c>
      <c r="I29" s="25">
        <f t="shared" si="1"/>
        <v>0.88062424072435475</v>
      </c>
      <c r="J29" s="25">
        <f t="shared" si="1"/>
        <v>0.87134442262341538</v>
      </c>
      <c r="K29" s="25">
        <f t="shared" si="1"/>
        <v>0.86216239313651155</v>
      </c>
      <c r="L29" s="25">
        <f t="shared" si="1"/>
        <v>0.85307712178945383</v>
      </c>
      <c r="M29" s="25">
        <f t="shared" si="1"/>
        <v>0.84408758896695568</v>
      </c>
      <c r="N29" s="25">
        <f t="shared" si="1"/>
        <v>0.83519278579820466</v>
      </c>
      <c r="O29" s="25">
        <f t="shared" si="1"/>
        <v>0.82639171404363998</v>
      </c>
      <c r="P29" s="25">
        <f t="shared" si="1"/>
        <v>0.8176833859829219</v>
      </c>
      <c r="Q29" s="25">
        <f t="shared" si="1"/>
        <v>0.80906682430408328</v>
      </c>
      <c r="R29" s="25">
        <f t="shared" si="1"/>
        <v>0.80054106199384878</v>
      </c>
      <c r="S29" s="25">
        <f t="shared" si="1"/>
        <v>0.79210514222910888</v>
      </c>
      <c r="T29" s="25">
        <f t="shared" si="1"/>
        <v>0.78375811826953823</v>
      </c>
      <c r="U29" s="25">
        <f t="shared" si="1"/>
        <v>0.77549905335134628</v>
      </c>
      <c r="V29" s="25">
        <f t="shared" si="1"/>
        <v>0.76732702058214641</v>
      </c>
      <c r="W29" s="25">
        <f t="shared" si="1"/>
        <v>0.75924110283693313</v>
      </c>
      <c r="X29" s="25">
        <f t="shared" si="1"/>
        <v>0.75124039265515563</v>
      </c>
      <c r="Y29" s="25">
        <f t="shared" si="1"/>
        <v>0.74332399213887657</v>
      </c>
      <c r="Z29" s="25">
        <f t="shared" si="1"/>
        <v>0.73549101285200269</v>
      </c>
      <c r="AA29" s="25">
        <f t="shared" si="1"/>
        <v>0.72774057572057871</v>
      </c>
      <c r="AB29" s="25">
        <f t="shared" si="1"/>
        <v>0.72007181093412997</v>
      </c>
      <c r="AC29" s="25">
        <f t="shared" si="1"/>
        <v>0.71248385784804835</v>
      </c>
      <c r="AD29" s="25">
        <f t="shared" si="1"/>
        <v>0.70497586488700181</v>
      </c>
      <c r="AE29" s="25">
        <f t="shared" si="1"/>
        <v>0.697546989449366</v>
      </c>
      <c r="AF29" s="25">
        <f t="shared" si="1"/>
        <v>0.69019639781266118</v>
      </c>
      <c r="AG29" s="25">
        <f t="shared" si="1"/>
        <v>0.68292326503998524</v>
      </c>
      <c r="AH29" s="25">
        <f t="shared" si="1"/>
        <v>0.67572677488743416</v>
      </c>
      <c r="AI29" s="25">
        <f t="shared" si="1"/>
        <v>0.66860611971249606</v>
      </c>
      <c r="AJ29" s="25">
        <f t="shared" si="1"/>
        <v>0.66156050038341263</v>
      </c>
      <c r="AK29" s="25">
        <f t="shared" si="1"/>
        <v>0.6545891261894945</v>
      </c>
      <c r="AL29" s="25">
        <f t="shared" si="1"/>
        <v>0.64769121475238156</v>
      </c>
      <c r="AM29" s="25">
        <f t="shared" si="1"/>
        <v>0.64086599193823934</v>
      </c>
      <c r="AN29" s="25">
        <f t="shared" si="1"/>
        <v>0.63411269177087937</v>
      </c>
      <c r="AO29" s="25">
        <f t="shared" si="1"/>
        <v>0.62743055634579659</v>
      </c>
      <c r="AP29" s="25">
        <f t="shared" si="1"/>
        <v>0.62081883574511121</v>
      </c>
      <c r="AQ29" s="25">
        <f t="shared" si="1"/>
        <v>0.61427678795340757</v>
      </c>
      <c r="AR29" s="25">
        <f t="shared" si="1"/>
        <v>0.6078036787744594</v>
      </c>
      <c r="AS29" s="25">
        <f t="shared" si="1"/>
        <v>0.60139878174883432</v>
      </c>
      <c r="AT29" s="25">
        <f t="shared" si="1"/>
        <v>0.59506137807236359</v>
      </c>
      <c r="AU29" s="25">
        <f t="shared" si="1"/>
        <v>0.58879075651547386</v>
      </c>
      <c r="AV29" s="25">
        <f t="shared" si="1"/>
        <v>0.58258621334336702</v>
      </c>
      <c r="AW29" s="25">
        <f t="shared" si="1"/>
        <v>0.5764470522370424</v>
      </c>
      <c r="AX29" s="25">
        <f t="shared" si="1"/>
        <v>0.57037258421515102</v>
      </c>
      <c r="AY29" s="25">
        <f t="shared" si="1"/>
        <v>0.56436212755667248</v>
      </c>
      <c r="AZ29" s="25">
        <f t="shared" si="1"/>
        <v>0.55841500772440755</v>
      </c>
      <c r="BA29" s="25">
        <f t="shared" si="1"/>
        <v>0.55253055728927669</v>
      </c>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BI32" s="23"/>
      <c r="BJ32" s="24"/>
      <c r="BK32" s="23"/>
      <c r="BL32" s="24"/>
      <c r="BM32" s="23"/>
      <c r="BN32" s="24"/>
      <c r="BO32" s="23"/>
      <c r="BP32" s="24"/>
      <c r="BQ32" s="23"/>
      <c r="BR32" s="24"/>
      <c r="BS32" s="23"/>
      <c r="BT32" s="24"/>
      <c r="BU32" s="23"/>
      <c r="BV32" s="24"/>
      <c r="BW32" s="23"/>
    </row>
    <row r="33" spans="1:75">
      <c r="A33" s="27"/>
      <c r="B33" s="26" t="s">
        <v>28</v>
      </c>
      <c r="C33" s="27"/>
      <c r="D33" s="27">
        <f>SUM(E33:CC33)</f>
        <v>-56110707.142887428</v>
      </c>
      <c r="E33" s="27"/>
      <c r="F33" s="27">
        <f t="shared" ref="F33:W33" si="2">PMT($D$8,$D$12,$D$13)</f>
        <v>-3117261.5079381894</v>
      </c>
      <c r="G33" s="27">
        <f t="shared" si="2"/>
        <v>-3117261.5079381894</v>
      </c>
      <c r="H33" s="27">
        <f t="shared" si="2"/>
        <v>-3117261.5079381894</v>
      </c>
      <c r="I33" s="27">
        <f t="shared" si="2"/>
        <v>-3117261.5079381894</v>
      </c>
      <c r="J33" s="27">
        <f t="shared" si="2"/>
        <v>-3117261.5079381894</v>
      </c>
      <c r="K33" s="27">
        <f t="shared" si="2"/>
        <v>-3117261.5079381894</v>
      </c>
      <c r="L33" s="27">
        <f t="shared" si="2"/>
        <v>-3117261.5079381894</v>
      </c>
      <c r="M33" s="27">
        <f t="shared" si="2"/>
        <v>-3117261.5079381894</v>
      </c>
      <c r="N33" s="27">
        <f t="shared" si="2"/>
        <v>-3117261.5079381894</v>
      </c>
      <c r="O33" s="27">
        <f t="shared" si="2"/>
        <v>-3117261.5079381894</v>
      </c>
      <c r="P33" s="27">
        <f t="shared" si="2"/>
        <v>-3117261.5079381894</v>
      </c>
      <c r="Q33" s="27">
        <f t="shared" si="2"/>
        <v>-3117261.5079381894</v>
      </c>
      <c r="R33" s="27">
        <f t="shared" si="2"/>
        <v>-3117261.5079381894</v>
      </c>
      <c r="S33" s="27">
        <f t="shared" si="2"/>
        <v>-3117261.5079381894</v>
      </c>
      <c r="T33" s="27">
        <f t="shared" si="2"/>
        <v>-3117261.5079381894</v>
      </c>
      <c r="U33" s="27">
        <f t="shared" si="2"/>
        <v>-3117261.5079381894</v>
      </c>
      <c r="V33" s="27">
        <f t="shared" si="2"/>
        <v>-3117261.5079381894</v>
      </c>
      <c r="W33" s="27">
        <f t="shared" si="2"/>
        <v>-3117261.5079381894</v>
      </c>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3">SUM(E34:CC34)</f>
        <v>-54800000</v>
      </c>
      <c r="E34" s="27"/>
      <c r="F34" s="27">
        <f t="shared" ref="F34:W34" si="4">PPMT($D$8,F32,$D$12,$D$13)</f>
        <v>-2980261.5079381894</v>
      </c>
      <c r="G34" s="27">
        <f t="shared" si="4"/>
        <v>-2987712.161708035</v>
      </c>
      <c r="H34" s="27">
        <f t="shared" si="4"/>
        <v>-2995181.4421123052</v>
      </c>
      <c r="I34" s="27">
        <f t="shared" si="4"/>
        <v>-3002669.3957175859</v>
      </c>
      <c r="J34" s="27">
        <f t="shared" si="4"/>
        <v>-3010176.0692068799</v>
      </c>
      <c r="K34" s="27">
        <f t="shared" si="4"/>
        <v>-3017701.5093798973</v>
      </c>
      <c r="L34" s="27">
        <f t="shared" si="4"/>
        <v>-3025245.7631533467</v>
      </c>
      <c r="M34" s="27">
        <f t="shared" si="4"/>
        <v>-3032808.8775612302</v>
      </c>
      <c r="N34" s="27">
        <f t="shared" si="4"/>
        <v>-3040390.8997551329</v>
      </c>
      <c r="O34" s="27">
        <f t="shared" si="4"/>
        <v>-3047991.877004521</v>
      </c>
      <c r="P34" s="27">
        <f t="shared" si="4"/>
        <v>-3055611.8566970327</v>
      </c>
      <c r="Q34" s="27">
        <f t="shared" si="4"/>
        <v>-3063250.886338775</v>
      </c>
      <c r="R34" s="27">
        <f t="shared" si="4"/>
        <v>-3070909.013554622</v>
      </c>
      <c r="S34" s="27">
        <f t="shared" si="4"/>
        <v>-3078586.2860885086</v>
      </c>
      <c r="T34" s="27">
        <f t="shared" si="4"/>
        <v>-3086282.7518037297</v>
      </c>
      <c r="U34" s="27">
        <f t="shared" si="4"/>
        <v>-3093998.4586832388</v>
      </c>
      <c r="V34" s="27">
        <f t="shared" si="4"/>
        <v>-3101733.4548299466</v>
      </c>
      <c r="W34" s="27">
        <f t="shared" si="4"/>
        <v>-3109487.7884670221</v>
      </c>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-1310707.1428874128</v>
      </c>
      <c r="E35" s="27"/>
      <c r="F35" s="27">
        <f t="shared" ref="F35:W35" si="5">IPMT($D$8,F32,$D$12,$D13)</f>
        <v>-137000</v>
      </c>
      <c r="G35" s="27">
        <f t="shared" si="5"/>
        <v>-129549.34623015454</v>
      </c>
      <c r="H35" s="27">
        <f t="shared" si="5"/>
        <v>-122080.06582588446</v>
      </c>
      <c r="I35" s="27">
        <f t="shared" si="5"/>
        <v>-114592.11222060368</v>
      </c>
      <c r="J35" s="27">
        <f t="shared" si="5"/>
        <v>-107085.43873130972</v>
      </c>
      <c r="K35" s="27">
        <f t="shared" si="5"/>
        <v>-99559.9985582925</v>
      </c>
      <c r="L35" s="27">
        <f t="shared" si="5"/>
        <v>-92015.744784842769</v>
      </c>
      <c r="M35" s="27">
        <f t="shared" si="5"/>
        <v>-84452.630376959409</v>
      </c>
      <c r="N35" s="27">
        <f t="shared" si="5"/>
        <v>-76870.608183056334</v>
      </c>
      <c r="O35" s="27">
        <f t="shared" si="5"/>
        <v>-69269.630933668479</v>
      </c>
      <c r="P35" s="27">
        <f t="shared" si="5"/>
        <v>-61649.651241157189</v>
      </c>
      <c r="Q35" s="27">
        <f t="shared" si="5"/>
        <v>-54010.621599414611</v>
      </c>
      <c r="R35" s="27">
        <f t="shared" si="5"/>
        <v>-46352.494383567675</v>
      </c>
      <c r="S35" s="27">
        <f t="shared" si="5"/>
        <v>-38675.221849681118</v>
      </c>
      <c r="T35" s="27">
        <f t="shared" si="5"/>
        <v>-30978.756134459847</v>
      </c>
      <c r="U35" s="27">
        <f t="shared" si="5"/>
        <v>-23263.049254950522</v>
      </c>
      <c r="V35" s="27">
        <f t="shared" si="5"/>
        <v>-15528.053108242422</v>
      </c>
      <c r="W35" s="27">
        <f t="shared" si="5"/>
        <v>-7773.7194711675565</v>
      </c>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54800000</v>
      </c>
      <c r="F36" s="34">
        <f>E36+F34</f>
        <v>51819738.492061809</v>
      </c>
      <c r="G36" s="34">
        <f t="shared" ref="G36:W36" si="6">F$36+G$34</f>
        <v>48832026.330353774</v>
      </c>
      <c r="H36" s="34">
        <f t="shared" si="6"/>
        <v>45836844.88824147</v>
      </c>
      <c r="I36" s="34">
        <f t="shared" si="6"/>
        <v>42834175.492523886</v>
      </c>
      <c r="J36" s="34">
        <f t="shared" si="6"/>
        <v>39823999.423317008</v>
      </c>
      <c r="K36" s="34">
        <f t="shared" si="6"/>
        <v>36806297.913937107</v>
      </c>
      <c r="L36" s="34">
        <f t="shared" si="6"/>
        <v>33781052.150783762</v>
      </c>
      <c r="M36" s="34">
        <f t="shared" si="6"/>
        <v>30748243.273222532</v>
      </c>
      <c r="N36" s="34">
        <f t="shared" si="6"/>
        <v>27707852.373467401</v>
      </c>
      <c r="O36" s="34">
        <f t="shared" si="6"/>
        <v>24659860.496462882</v>
      </c>
      <c r="P36" s="34">
        <f t="shared" si="6"/>
        <v>21604248.639765847</v>
      </c>
      <c r="Q36" s="34">
        <f t="shared" si="6"/>
        <v>18540997.753427073</v>
      </c>
      <c r="R36" s="34">
        <f t="shared" si="6"/>
        <v>15470088.739872452</v>
      </c>
      <c r="S36" s="34">
        <f t="shared" si="6"/>
        <v>12391502.453783944</v>
      </c>
      <c r="T36" s="34">
        <f t="shared" si="6"/>
        <v>9305219.7019802146</v>
      </c>
      <c r="U36" s="34">
        <f t="shared" si="6"/>
        <v>6211221.2432969753</v>
      </c>
      <c r="V36" s="34">
        <f t="shared" si="6"/>
        <v>3109487.7884670286</v>
      </c>
      <c r="W36" s="34">
        <f t="shared" si="6"/>
        <v>6.5192580223083496E-9</v>
      </c>
      <c r="X36" s="34"/>
      <c r="Y36" s="34"/>
      <c r="Z36" s="34"/>
      <c r="AA36" s="34"/>
      <c r="AB36" s="34"/>
      <c r="AC36" s="34"/>
      <c r="AD36" s="34"/>
      <c r="AE36" s="34"/>
      <c r="AF36" s="34"/>
      <c r="AG36" s="34"/>
      <c r="AH36" s="34"/>
      <c r="AI36" s="34"/>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-46686125.778261527</v>
      </c>
      <c r="E37" s="34"/>
      <c r="F37" s="34">
        <f t="shared" ref="F37:W37" si="7">F33*F29</f>
        <v>-2833780.5418855175</v>
      </c>
      <c r="G37" s="34">
        <f t="shared" si="7"/>
        <v>-2803918.806595278</v>
      </c>
      <c r="H37" s="34">
        <f t="shared" si="7"/>
        <v>-2774371.7474845671</v>
      </c>
      <c r="I37" s="34">
        <f t="shared" si="7"/>
        <v>-2745136.0485673253</v>
      </c>
      <c r="J37" s="34">
        <f t="shared" si="7"/>
        <v>-2716208.4288005987</v>
      </c>
      <c r="K37" s="34">
        <f t="shared" si="7"/>
        <v>-2687585.6417163201</v>
      </c>
      <c r="L37" s="34">
        <f t="shared" si="7"/>
        <v>-2659264.4750569635</v>
      </c>
      <c r="M37" s="34">
        <f t="shared" si="7"/>
        <v>-2631241.750415043</v>
      </c>
      <c r="N37" s="34">
        <f t="shared" si="7"/>
        <v>-2603514.3228764087</v>
      </c>
      <c r="O37" s="34">
        <f t="shared" si="7"/>
        <v>-2576079.080667302</v>
      </c>
      <c r="P37" s="34">
        <f t="shared" si="7"/>
        <v>-2548932.9448051276</v>
      </c>
      <c r="Q37" s="34">
        <f t="shared" si="7"/>
        <v>-2522072.8687529089</v>
      </c>
      <c r="R37" s="34">
        <f t="shared" si="7"/>
        <v>-2495495.8380773845</v>
      </c>
      <c r="S37" s="34">
        <f t="shared" si="7"/>
        <v>-2469198.870110706</v>
      </c>
      <c r="T37" s="34">
        <f t="shared" si="7"/>
        <v>-2443179.0136156986</v>
      </c>
      <c r="U37" s="34">
        <f t="shared" si="7"/>
        <v>-2417433.3484546561</v>
      </c>
      <c r="V37" s="34">
        <f t="shared" si="7"/>
        <v>-2391958.98526162</v>
      </c>
      <c r="W37" s="34">
        <f t="shared" si="7"/>
        <v>-2366753.0651181121</v>
      </c>
      <c r="X37" s="34"/>
      <c r="Y37" s="34"/>
      <c r="Z37" s="34"/>
      <c r="AA37" s="34"/>
      <c r="AB37" s="34"/>
      <c r="AC37" s="34"/>
      <c r="AD37" s="34"/>
      <c r="AE37" s="34"/>
      <c r="AF37" s="34"/>
      <c r="AG37" s="34"/>
      <c r="AH37" s="34"/>
      <c r="AI37" s="34"/>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-45563132.684540167</v>
      </c>
      <c r="E38" s="34"/>
      <c r="F38" s="34">
        <f t="shared" ref="F38:W38" si="8">F34*F29</f>
        <v>-2709239.1990274726</v>
      </c>
      <c r="G38" s="34">
        <f t="shared" si="8"/>
        <v>-2687391.5767328371</v>
      </c>
      <c r="H38" s="34">
        <f t="shared" si="8"/>
        <v>-2665720.1362238848</v>
      </c>
      <c r="I38" s="34">
        <f t="shared" si="8"/>
        <v>-2644223.4567500562</v>
      </c>
      <c r="J38" s="34">
        <f t="shared" si="8"/>
        <v>-2622900.1290178909</v>
      </c>
      <c r="K38" s="34">
        <f t="shared" si="8"/>
        <v>-2601748.7550986353</v>
      </c>
      <c r="L38" s="34">
        <f t="shared" si="8"/>
        <v>-2580767.9483365966</v>
      </c>
      <c r="M38" s="34">
        <f t="shared" si="8"/>
        <v>-2559956.3332582377</v>
      </c>
      <c r="N38" s="34">
        <f t="shared" si="8"/>
        <v>-2539312.5454819994</v>
      </c>
      <c r="O38" s="34">
        <f t="shared" si="8"/>
        <v>-2518835.2316288576</v>
      </c>
      <c r="P38" s="34">
        <f t="shared" si="8"/>
        <v>-2498523.0492335926</v>
      </c>
      <c r="Q38" s="34">
        <f t="shared" si="8"/>
        <v>-2478374.666656781</v>
      </c>
      <c r="R38" s="34">
        <f t="shared" si="8"/>
        <v>-2458388.7629974997</v>
      </c>
      <c r="S38" s="34">
        <f t="shared" si="8"/>
        <v>-2438564.0280067222</v>
      </c>
      <c r="T38" s="34">
        <f t="shared" si="8"/>
        <v>-2418899.1620014235</v>
      </c>
      <c r="U38" s="34">
        <f t="shared" si="8"/>
        <v>-2399392.8757793764</v>
      </c>
      <c r="V38" s="34">
        <f t="shared" si="8"/>
        <v>-2380043.8905346305</v>
      </c>
      <c r="W38" s="34">
        <f t="shared" si="8"/>
        <v>-2360850.937773678</v>
      </c>
      <c r="X38" s="34"/>
      <c r="Y38" s="34"/>
      <c r="Z38" s="34"/>
      <c r="AA38" s="34"/>
      <c r="AB38" s="34"/>
      <c r="AC38" s="34"/>
      <c r="AD38" s="34"/>
      <c r="AE38" s="34"/>
      <c r="AF38" s="34"/>
      <c r="AG38" s="34"/>
      <c r="AH38" s="34"/>
      <c r="AI38" s="34"/>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-1122993.0937213679</v>
      </c>
      <c r="E39" s="34"/>
      <c r="F39" s="34">
        <f t="shared" ref="F39:W39" si="9">F35*F29</f>
        <v>-124541.34285804484</v>
      </c>
      <c r="G39" s="34">
        <f t="shared" si="9"/>
        <v>-116527.22986244118</v>
      </c>
      <c r="H39" s="34">
        <f t="shared" si="9"/>
        <v>-108651.61126068281</v>
      </c>
      <c r="I39" s="34">
        <f t="shared" si="9"/>
        <v>-100912.59181726917</v>
      </c>
      <c r="J39" s="34">
        <f t="shared" si="9"/>
        <v>-93308.2997827082</v>
      </c>
      <c r="K39" s="34">
        <f t="shared" si="9"/>
        <v>-85836.886617685101</v>
      </c>
      <c r="L39" s="34">
        <f t="shared" si="9"/>
        <v>-78496.526720366615</v>
      </c>
      <c r="M39" s="34">
        <f t="shared" si="9"/>
        <v>-71285.417156805153</v>
      </c>
      <c r="N39" s="34">
        <f t="shared" si="9"/>
        <v>-64201.777394409088</v>
      </c>
      <c r="O39" s="34">
        <f t="shared" si="9"/>
        <v>-57243.849038444641</v>
      </c>
      <c r="P39" s="34">
        <f t="shared" si="9"/>
        <v>-50409.895571535657</v>
      </c>
      <c r="Q39" s="34">
        <f t="shared" si="9"/>
        <v>-43698.202096127905</v>
      </c>
      <c r="R39" s="34">
        <f t="shared" si="9"/>
        <v>-37107.07507988518</v>
      </c>
      <c r="S39" s="34">
        <f t="shared" si="9"/>
        <v>-30634.842103984003</v>
      </c>
      <c r="T39" s="34">
        <f t="shared" si="9"/>
        <v>-24279.851614275165</v>
      </c>
      <c r="U39" s="34">
        <f t="shared" si="9"/>
        <v>-18040.472675279871</v>
      </c>
      <c r="V39" s="34">
        <f t="shared" si="9"/>
        <v>-11915.094726988995</v>
      </c>
      <c r="W39" s="34">
        <f t="shared" si="9"/>
        <v>-5902.1273444341959</v>
      </c>
      <c r="X39" s="34"/>
      <c r="Y39" s="34"/>
      <c r="Z39" s="34"/>
      <c r="AA39" s="34"/>
      <c r="AB39" s="34"/>
      <c r="AC39" s="34"/>
      <c r="AD39" s="34"/>
      <c r="AE39" s="34"/>
      <c r="AF39" s="34"/>
      <c r="AG39" s="34"/>
      <c r="AH39" s="34"/>
      <c r="AI39" s="34"/>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G43">
        <v>2</v>
      </c>
      <c r="H43">
        <v>3</v>
      </c>
      <c r="BI43" s="23"/>
      <c r="BJ43" s="24"/>
      <c r="BK43" s="23"/>
      <c r="BL43" s="24"/>
      <c r="BM43" s="23"/>
      <c r="BN43" s="24"/>
      <c r="BO43" s="23"/>
      <c r="BP43" s="24"/>
      <c r="BQ43" s="23"/>
      <c r="BR43" s="24"/>
      <c r="BS43" s="23"/>
      <c r="BT43" s="24"/>
      <c r="BU43" s="23"/>
      <c r="BV43" s="24"/>
      <c r="BW43" s="23"/>
    </row>
    <row r="44" spans="1:75">
      <c r="A44" s="41"/>
      <c r="B44" s="26" t="s">
        <v>28</v>
      </c>
      <c r="C44" s="27"/>
      <c r="D44" s="27">
        <f t="shared" si="3"/>
        <v>-9351784.5238145683</v>
      </c>
      <c r="E44" s="34"/>
      <c r="F44" s="34">
        <f t="shared" ref="F44:H44" si="10">PMT($D$8,$D$12,$D$13)</f>
        <v>-3117261.5079381894</v>
      </c>
      <c r="G44" s="34">
        <f t="shared" si="10"/>
        <v>-3117261.5079381894</v>
      </c>
      <c r="H44" s="34">
        <f t="shared" si="10"/>
        <v>-3117261.5079381894</v>
      </c>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-8963155.1117585301</v>
      </c>
      <c r="E45" s="34"/>
      <c r="F45" s="34">
        <f>PPMT($D$8,F43, $D$12,$D$13)</f>
        <v>-2980261.5079381894</v>
      </c>
      <c r="G45" s="34">
        <f t="shared" ref="G45:H45" si="11">PPMT($D$8,G43, $D$12,$D$13)</f>
        <v>-2987712.161708035</v>
      </c>
      <c r="H45" s="34">
        <f t="shared" si="11"/>
        <v>-2995181.4421123052</v>
      </c>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-388629.41205603897</v>
      </c>
      <c r="E46" s="27"/>
      <c r="F46" s="34">
        <f>IPMT($D$8, F43, $D$12,$D$13)</f>
        <v>-137000</v>
      </c>
      <c r="G46" s="34">
        <f t="shared" ref="G46:H46" si="12">IPMT($D$8, G43, $D$12,$D$13)</f>
        <v>-129549.34623015454</v>
      </c>
      <c r="H46" s="34">
        <f t="shared" si="12"/>
        <v>-122080.06582588446</v>
      </c>
      <c r="I46" s="34"/>
      <c r="J46" s="34"/>
      <c r="K46" s="34"/>
      <c r="L46" s="34"/>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54800000</v>
      </c>
      <c r="F47" s="27">
        <f t="shared" ref="F47" si="13">E47+F45</f>
        <v>51819738.492061809</v>
      </c>
      <c r="G47" s="27">
        <f>F47+G45</f>
        <v>48832026.330353774</v>
      </c>
      <c r="H47" s="27">
        <f>G47+H45</f>
        <v>45836844.88824147</v>
      </c>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-8412071.0959653631</v>
      </c>
      <c r="E48" s="27"/>
      <c r="F48" s="27">
        <f>F44*F29</f>
        <v>-2833780.5418855175</v>
      </c>
      <c r="G48" s="27">
        <f t="shared" ref="G48:H48" si="14">G44*G29</f>
        <v>-2803918.806595278</v>
      </c>
      <c r="H48" s="27">
        <f t="shared" si="14"/>
        <v>-2774371.7474845671</v>
      </c>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-8062350.9119841941</v>
      </c>
      <c r="E49" s="27"/>
      <c r="F49" s="27">
        <f t="shared" ref="F49:H49" si="15">F45*F29</f>
        <v>-2709239.1990274726</v>
      </c>
      <c r="G49" s="27">
        <f t="shared" si="15"/>
        <v>-2687391.5767328371</v>
      </c>
      <c r="H49" s="27">
        <f t="shared" si="15"/>
        <v>-2665720.1362238848</v>
      </c>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-349720.18398116884</v>
      </c>
      <c r="E50" s="27"/>
      <c r="F50" s="27">
        <f t="shared" ref="F50:H50" si="16">F46*F29</f>
        <v>-124541.34285804484</v>
      </c>
      <c r="G50" s="27">
        <f t="shared" si="16"/>
        <v>-116527.22986244118</v>
      </c>
      <c r="H50" s="27">
        <f t="shared" si="16"/>
        <v>-108651.61126068281</v>
      </c>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I52">
        <v>1</v>
      </c>
      <c r="J52">
        <v>2</v>
      </c>
      <c r="K52">
        <v>3</v>
      </c>
      <c r="L52">
        <v>4</v>
      </c>
      <c r="M52">
        <v>5</v>
      </c>
      <c r="N52">
        <v>6</v>
      </c>
      <c r="BI52" s="23"/>
      <c r="BJ52" s="24"/>
      <c r="BK52" s="23"/>
      <c r="BL52" s="24"/>
      <c r="BM52" s="23"/>
      <c r="BN52" s="24"/>
      <c r="BO52" s="23"/>
      <c r="BP52" s="24"/>
      <c r="BQ52" s="23"/>
      <c r="BR52" s="24"/>
      <c r="BS52" s="23"/>
      <c r="BT52" s="24"/>
      <c r="BU52" s="23"/>
      <c r="BV52" s="24"/>
      <c r="BW52" s="23"/>
    </row>
    <row r="53" spans="1:75">
      <c r="A53" s="41"/>
      <c r="B53" s="26" t="s">
        <v>28</v>
      </c>
      <c r="C53" s="27"/>
      <c r="D53" s="27">
        <f t="shared" si="3"/>
        <v>-15412917.267522769</v>
      </c>
      <c r="E53" s="34"/>
      <c r="F53" s="34"/>
      <c r="G53" s="34"/>
      <c r="H53" s="34"/>
      <c r="I53" s="34">
        <f>PMT($D$8,6,$D$24/3)</f>
        <v>-2568819.5445871283</v>
      </c>
      <c r="J53" s="34">
        <f>PMT($D$8,6,$D$24/3)</f>
        <v>-2568819.5445871283</v>
      </c>
      <c r="K53" s="34">
        <f t="shared" ref="K53:N53" si="17">PMT($D$8,6,$D$24/3)</f>
        <v>-2568819.5445871283</v>
      </c>
      <c r="L53" s="34">
        <f t="shared" si="17"/>
        <v>-2568819.5445871283</v>
      </c>
      <c r="M53" s="34">
        <f t="shared" si="17"/>
        <v>-2568819.5445871283</v>
      </c>
      <c r="N53" s="34">
        <f t="shared" si="17"/>
        <v>-2568819.5445871283</v>
      </c>
      <c r="O53" s="34"/>
      <c r="P53" s="34"/>
      <c r="Q53" s="34"/>
      <c r="R53" s="34"/>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-15278948.296080487</v>
      </c>
      <c r="E54" s="34"/>
      <c r="F54" s="34"/>
      <c r="G54" s="34"/>
      <c r="H54" s="34"/>
      <c r="I54" s="34">
        <f>PPMT($D$8,I52,6,$D$24/3)</f>
        <v>-2530622.1738469275</v>
      </c>
      <c r="J54" s="34">
        <f>PPMT($D$8,J52,6,$D$24/3)</f>
        <v>-2536948.7292815447</v>
      </c>
      <c r="K54" s="34">
        <f t="shared" ref="K54:N54" si="18">PPMT($D$8,K52,6,$D$24/3)</f>
        <v>-2543291.1011047484</v>
      </c>
      <c r="L54" s="34">
        <f t="shared" si="18"/>
        <v>-2549649.3288575104</v>
      </c>
      <c r="M54" s="34">
        <f t="shared" si="18"/>
        <v>-2556023.452179654</v>
      </c>
      <c r="N54" s="34">
        <f t="shared" si="18"/>
        <v>-2562413.5108101033</v>
      </c>
      <c r="O54" s="34"/>
      <c r="P54" s="34"/>
      <c r="Q54" s="34"/>
      <c r="R54" s="34"/>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-133968.97144228301</v>
      </c>
      <c r="E55" s="27"/>
      <c r="F55" s="27"/>
      <c r="G55" s="34"/>
      <c r="H55" s="34"/>
      <c r="I55" s="34">
        <f>IPMT($D$8,I52,6,$D$24/3)</f>
        <v>-38197.37074020123</v>
      </c>
      <c r="J55" s="34">
        <f t="shared" ref="J55:N55" si="19">IPMT($D$8,J52,6,$D$24/3)</f>
        <v>-31870.815305583907</v>
      </c>
      <c r="K55" s="34">
        <f t="shared" si="19"/>
        <v>-25528.44348238004</v>
      </c>
      <c r="L55" s="34">
        <f t="shared" si="19"/>
        <v>-19170.215729618172</v>
      </c>
      <c r="M55" s="34">
        <f t="shared" si="19"/>
        <v>-12796.092407474393</v>
      </c>
      <c r="N55" s="34">
        <f t="shared" si="19"/>
        <v>-6406.033777025259</v>
      </c>
      <c r="O55" s="34"/>
      <c r="P55" s="34"/>
      <c r="Q55" s="34"/>
      <c r="R55" s="34"/>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45836844.88824147</v>
      </c>
      <c r="F56" s="27"/>
      <c r="G56" s="27"/>
      <c r="H56" s="27"/>
      <c r="I56" s="27">
        <f>$E$56+I54</f>
        <v>43306222.71439454</v>
      </c>
      <c r="J56" s="27">
        <f>I56+J54</f>
        <v>40769273.985112995</v>
      </c>
      <c r="K56" s="27">
        <f t="shared" ref="K56" si="20">J56+K54</f>
        <v>38225982.884008244</v>
      </c>
      <c r="L56" s="27">
        <f t="shared" ref="L56" si="21">K56+L54</f>
        <v>35676333.555150732</v>
      </c>
      <c r="M56" s="27">
        <f t="shared" ref="M56" si="22">L56+M54</f>
        <v>33120310.102971077</v>
      </c>
      <c r="N56" s="27">
        <f t="shared" ref="N56" si="23">M56+N54</f>
        <v>30557896.592160974</v>
      </c>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-13220400.381040245</v>
      </c>
      <c r="E57" s="27"/>
      <c r="F57" s="27"/>
      <c r="G57" s="27"/>
      <c r="H57" s="27"/>
      <c r="I57" s="27">
        <f>I53*I$29</f>
        <v>-2262164.7610099227</v>
      </c>
      <c r="J57" s="27">
        <f>J53*J$29</f>
        <v>-2238326.5829020161</v>
      </c>
      <c r="K57" s="27">
        <f t="shared" ref="K57:N57" si="24">K53*K$29</f>
        <v>-2214739.6060970821</v>
      </c>
      <c r="L57" s="27">
        <f t="shared" si="24"/>
        <v>-2191401.1834928831</v>
      </c>
      <c r="M57" s="27">
        <f t="shared" si="24"/>
        <v>-2168308.6958817421</v>
      </c>
      <c r="N57" s="27">
        <f t="shared" si="24"/>
        <v>-2145459.5516565992</v>
      </c>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-13104477.760904411</v>
      </c>
      <c r="E58" s="27"/>
      <c r="F58" s="27"/>
      <c r="G58" s="27"/>
      <c r="H58" s="27"/>
      <c r="I58" s="27">
        <f>I54*I$29</f>
        <v>-2228527.2304041665</v>
      </c>
      <c r="J58" s="27">
        <f t="shared" ref="J58:N58" si="25">J54*J$29</f>
        <v>-2210556.1257410347</v>
      </c>
      <c r="K58" s="27">
        <f t="shared" si="25"/>
        <v>-2192729.9421712635</v>
      </c>
      <c r="L58" s="27">
        <f t="shared" si="25"/>
        <v>-2175047.5110341776</v>
      </c>
      <c r="M58" s="27">
        <f t="shared" si="25"/>
        <v>-2157507.6730933189</v>
      </c>
      <c r="N58" s="27">
        <f t="shared" si="25"/>
        <v>-2140109.2784604481</v>
      </c>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-115922.620135837</v>
      </c>
      <c r="E59" s="27"/>
      <c r="F59" s="27"/>
      <c r="G59" s="27"/>
      <c r="H59" s="27"/>
      <c r="I59" s="27">
        <f>I55*I$29</f>
        <v>-33637.530605756394</v>
      </c>
      <c r="J59" s="27">
        <f t="shared" ref="J59:N59" si="26">J55*J$29</f>
        <v>-27770.457160981518</v>
      </c>
      <c r="K59" s="27">
        <f t="shared" si="26"/>
        <v>-22009.663925818957</v>
      </c>
      <c r="L59" s="27">
        <f t="shared" si="26"/>
        <v>-16353.672458705585</v>
      </c>
      <c r="M59" s="27">
        <f t="shared" si="26"/>
        <v>-10801.022788423428</v>
      </c>
      <c r="N59" s="27">
        <f t="shared" si="26"/>
        <v>-5350.2731961511208</v>
      </c>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O61">
        <v>1</v>
      </c>
      <c r="P61">
        <v>2</v>
      </c>
      <c r="Q61">
        <v>3</v>
      </c>
      <c r="R61">
        <v>4</v>
      </c>
      <c r="S61">
        <v>5</v>
      </c>
      <c r="T61">
        <v>6</v>
      </c>
      <c r="U61">
        <v>7</v>
      </c>
      <c r="V61">
        <v>8</v>
      </c>
      <c r="W61">
        <v>9</v>
      </c>
      <c r="X61">
        <v>10</v>
      </c>
      <c r="Y61">
        <v>11</v>
      </c>
      <c r="Z61">
        <v>12</v>
      </c>
      <c r="AA61">
        <v>13</v>
      </c>
      <c r="AB61">
        <v>14</v>
      </c>
      <c r="AC61">
        <v>15</v>
      </c>
      <c r="AD61">
        <v>16</v>
      </c>
      <c r="AE61">
        <v>17</v>
      </c>
      <c r="AF61">
        <v>18</v>
      </c>
      <c r="AG61">
        <v>19</v>
      </c>
      <c r="AH61">
        <v>20</v>
      </c>
      <c r="AI61">
        <v>21</v>
      </c>
      <c r="AJ61">
        <v>22</v>
      </c>
      <c r="AK61">
        <v>23</v>
      </c>
      <c r="AL61">
        <v>24</v>
      </c>
      <c r="AM61">
        <v>25</v>
      </c>
      <c r="AN61">
        <v>26</v>
      </c>
      <c r="AO61">
        <v>27</v>
      </c>
      <c r="AP61">
        <v>28</v>
      </c>
      <c r="AQ61">
        <v>29</v>
      </c>
      <c r="AR61">
        <v>30</v>
      </c>
      <c r="AS61">
        <v>31</v>
      </c>
      <c r="AT61">
        <v>32</v>
      </c>
      <c r="AU61">
        <v>33</v>
      </c>
      <c r="AV61">
        <v>34</v>
      </c>
      <c r="AW61">
        <v>35</v>
      </c>
      <c r="AX61">
        <v>36</v>
      </c>
      <c r="AY61">
        <v>37</v>
      </c>
      <c r="AZ61">
        <v>38</v>
      </c>
      <c r="BA61">
        <v>39</v>
      </c>
    </row>
    <row r="62" spans="1:75">
      <c r="A62" s="41"/>
      <c r="B62" s="26" t="s">
        <v>28</v>
      </c>
      <c r="C62" s="27"/>
      <c r="D62" s="27">
        <f>SUM(E62:BU62)</f>
        <v>-46051241.007692873</v>
      </c>
      <c r="E62" s="34"/>
      <c r="F62" s="34"/>
      <c r="G62" s="34"/>
      <c r="H62" s="34"/>
      <c r="I62" s="34"/>
      <c r="J62" s="34"/>
      <c r="K62" s="34"/>
      <c r="L62" s="34"/>
      <c r="M62" s="34"/>
      <c r="N62" s="34"/>
      <c r="O62" s="34">
        <f>PMT($D$18,$D$22-$T$32,$E$65)</f>
        <v>-1180801.0514793047</v>
      </c>
      <c r="P62" s="34">
        <f t="shared" ref="P62:BA62" si="27">PMT($D$18,$D$22-$T$32,$E$65)</f>
        <v>-1180801.0514793047</v>
      </c>
      <c r="Q62" s="34">
        <f t="shared" si="27"/>
        <v>-1180801.0514793047</v>
      </c>
      <c r="R62" s="34">
        <f t="shared" si="27"/>
        <v>-1180801.0514793047</v>
      </c>
      <c r="S62" s="34">
        <f t="shared" si="27"/>
        <v>-1180801.0514793047</v>
      </c>
      <c r="T62" s="34">
        <f t="shared" si="27"/>
        <v>-1180801.0514793047</v>
      </c>
      <c r="U62" s="34">
        <f t="shared" si="27"/>
        <v>-1180801.0514793047</v>
      </c>
      <c r="V62" s="34">
        <f t="shared" si="27"/>
        <v>-1180801.0514793047</v>
      </c>
      <c r="W62" s="34">
        <f t="shared" si="27"/>
        <v>-1180801.0514793047</v>
      </c>
      <c r="X62" s="34">
        <f t="shared" si="27"/>
        <v>-1180801.0514793047</v>
      </c>
      <c r="Y62" s="34">
        <f t="shared" si="27"/>
        <v>-1180801.0514793047</v>
      </c>
      <c r="Z62" s="34">
        <f t="shared" si="27"/>
        <v>-1180801.0514793047</v>
      </c>
      <c r="AA62" s="34">
        <f t="shared" si="27"/>
        <v>-1180801.0514793047</v>
      </c>
      <c r="AB62" s="34">
        <f t="shared" si="27"/>
        <v>-1180801.0514793047</v>
      </c>
      <c r="AC62" s="34">
        <f t="shared" si="27"/>
        <v>-1180801.0514793047</v>
      </c>
      <c r="AD62" s="34">
        <f t="shared" si="27"/>
        <v>-1180801.0514793047</v>
      </c>
      <c r="AE62" s="34">
        <f t="shared" si="27"/>
        <v>-1180801.0514793047</v>
      </c>
      <c r="AF62" s="34">
        <f t="shared" si="27"/>
        <v>-1180801.0514793047</v>
      </c>
      <c r="AG62" s="34">
        <f t="shared" si="27"/>
        <v>-1180801.0514793047</v>
      </c>
      <c r="AH62" s="34">
        <f t="shared" si="27"/>
        <v>-1180801.0514793047</v>
      </c>
      <c r="AI62" s="34">
        <f t="shared" si="27"/>
        <v>-1180801.0514793047</v>
      </c>
      <c r="AJ62" s="34">
        <f t="shared" si="27"/>
        <v>-1180801.0514793047</v>
      </c>
      <c r="AK62" s="34">
        <f t="shared" si="27"/>
        <v>-1180801.0514793047</v>
      </c>
      <c r="AL62" s="34">
        <f t="shared" si="27"/>
        <v>-1180801.0514793047</v>
      </c>
      <c r="AM62" s="34">
        <f t="shared" si="27"/>
        <v>-1180801.0514793047</v>
      </c>
      <c r="AN62" s="34">
        <f t="shared" si="27"/>
        <v>-1180801.0514793047</v>
      </c>
      <c r="AO62" s="34">
        <f t="shared" si="27"/>
        <v>-1180801.0514793047</v>
      </c>
      <c r="AP62" s="34">
        <f t="shared" si="27"/>
        <v>-1180801.0514793047</v>
      </c>
      <c r="AQ62" s="34">
        <f t="shared" si="27"/>
        <v>-1180801.0514793047</v>
      </c>
      <c r="AR62" s="34">
        <f t="shared" si="27"/>
        <v>-1180801.0514793047</v>
      </c>
      <c r="AS62" s="34">
        <f t="shared" si="27"/>
        <v>-1180801.0514793047</v>
      </c>
      <c r="AT62" s="34">
        <f t="shared" si="27"/>
        <v>-1180801.0514793047</v>
      </c>
      <c r="AU62" s="34">
        <f t="shared" si="27"/>
        <v>-1180801.0514793047</v>
      </c>
      <c r="AV62" s="34">
        <f t="shared" si="27"/>
        <v>-1180801.0514793047</v>
      </c>
      <c r="AW62" s="34">
        <f t="shared" si="27"/>
        <v>-1180801.0514793047</v>
      </c>
      <c r="AX62" s="34">
        <f t="shared" si="27"/>
        <v>-1180801.0514793047</v>
      </c>
      <c r="AY62" s="34">
        <f t="shared" si="27"/>
        <v>-1180801.0514793047</v>
      </c>
      <c r="AZ62" s="34">
        <f t="shared" si="27"/>
        <v>-1180801.0514793047</v>
      </c>
      <c r="BA62" s="34">
        <f t="shared" si="27"/>
        <v>-1180801.0514793047</v>
      </c>
      <c r="BB62" s="34"/>
      <c r="BC62" s="34"/>
      <c r="BD62" s="34"/>
      <c r="BE62" s="34"/>
      <c r="BF62" s="34"/>
      <c r="BG62" s="34"/>
      <c r="BH62" s="34"/>
      <c r="BI62" s="34"/>
      <c r="BJ62" s="34"/>
      <c r="BK62" s="34"/>
      <c r="BL62" s="34"/>
      <c r="BM62" s="34"/>
      <c r="BN62" s="34"/>
      <c r="BO62" s="34"/>
    </row>
    <row r="63" spans="1:75">
      <c r="A63" s="41"/>
      <c r="B63" s="27"/>
      <c r="C63" s="27" t="s">
        <v>29</v>
      </c>
      <c r="D63" s="27">
        <f>SUM(E63:BU63)</f>
        <v>-30557896.59216097</v>
      </c>
      <c r="E63" s="34"/>
      <c r="F63" s="34"/>
      <c r="G63" s="34"/>
      <c r="H63" s="34"/>
      <c r="I63" s="34"/>
      <c r="J63" s="34"/>
      <c r="K63" s="34"/>
      <c r="L63" s="34"/>
      <c r="M63" s="34"/>
      <c r="N63" s="34"/>
      <c r="O63" s="34">
        <f>PPMT($D$18, O61, $D$23,$E$65)</f>
        <v>-582269.40777331986</v>
      </c>
      <c r="P63" s="34">
        <f t="shared" ref="P63:BA63" si="28">PPMT($D$18, P61, $D$23,$E$65)</f>
        <v>-591003.44888991967</v>
      </c>
      <c r="Q63" s="34">
        <f t="shared" si="28"/>
        <v>-599868.50062326842</v>
      </c>
      <c r="R63" s="34">
        <f t="shared" si="28"/>
        <v>-608866.52813261759</v>
      </c>
      <c r="S63" s="34">
        <f t="shared" si="28"/>
        <v>-617999.52605460677</v>
      </c>
      <c r="T63" s="34">
        <f t="shared" si="28"/>
        <v>-627269.51894542575</v>
      </c>
      <c r="U63" s="34">
        <f t="shared" si="28"/>
        <v>-636678.56172960729</v>
      </c>
      <c r="V63" s="34">
        <f t="shared" si="28"/>
        <v>-646228.74015555135</v>
      </c>
      <c r="W63" s="34">
        <f t="shared" si="28"/>
        <v>-655922.17125788471</v>
      </c>
      <c r="X63" s="34">
        <f t="shared" si="28"/>
        <v>-665761.00382675277</v>
      </c>
      <c r="Y63" s="34">
        <f t="shared" si="28"/>
        <v>-675747.41888415418</v>
      </c>
      <c r="Z63" s="34">
        <f t="shared" si="28"/>
        <v>-685883.63016741641</v>
      </c>
      <c r="AA63" s="34">
        <f t="shared" si="28"/>
        <v>-696171.88461992773</v>
      </c>
      <c r="AB63" s="34">
        <f t="shared" si="28"/>
        <v>-706614.46288922674</v>
      </c>
      <c r="AC63" s="34">
        <f t="shared" si="28"/>
        <v>-717213.67983256502</v>
      </c>
      <c r="AD63" s="34">
        <f t="shared" si="28"/>
        <v>-727971.88503005356</v>
      </c>
      <c r="AE63" s="34">
        <f t="shared" si="28"/>
        <v>-738891.46330550441</v>
      </c>
      <c r="AF63" s="34">
        <f t="shared" si="28"/>
        <v>-749974.83525508689</v>
      </c>
      <c r="AG63" s="34">
        <f t="shared" si="28"/>
        <v>-761224.45778391336</v>
      </c>
      <c r="AH63" s="34">
        <f t="shared" si="28"/>
        <v>-772642.82465067203</v>
      </c>
      <c r="AI63" s="34">
        <f t="shared" si="28"/>
        <v>-784232.467020432</v>
      </c>
      <c r="AJ63" s="34">
        <f t="shared" si="28"/>
        <v>-795995.95402573852</v>
      </c>
      <c r="AK63" s="34">
        <f t="shared" si="28"/>
        <v>-807935.8933361246</v>
      </c>
      <c r="AL63" s="34">
        <f t="shared" si="28"/>
        <v>-820054.93173616647</v>
      </c>
      <c r="AM63" s="34">
        <f t="shared" si="28"/>
        <v>-832355.75571220892</v>
      </c>
      <c r="AN63" s="34">
        <f t="shared" si="28"/>
        <v>-844841.09204789205</v>
      </c>
      <c r="AO63" s="34">
        <f t="shared" si="28"/>
        <v>-857513.70842861047</v>
      </c>
      <c r="AP63" s="34">
        <f t="shared" si="28"/>
        <v>-870376.41405503952</v>
      </c>
      <c r="AQ63" s="34">
        <f t="shared" si="28"/>
        <v>-883432.06026586518</v>
      </c>
      <c r="AR63" s="34">
        <f t="shared" si="28"/>
        <v>-896683.54116985318</v>
      </c>
      <c r="AS63" s="34">
        <f t="shared" si="28"/>
        <v>-910133.79428740102</v>
      </c>
      <c r="AT63" s="34">
        <f t="shared" si="28"/>
        <v>-923785.80120171199</v>
      </c>
      <c r="AU63" s="34">
        <f t="shared" si="28"/>
        <v>-937642.58821973763</v>
      </c>
      <c r="AV63" s="34">
        <f t="shared" si="28"/>
        <v>-951707.22704303369</v>
      </c>
      <c r="AW63" s="34">
        <f t="shared" si="28"/>
        <v>-965982.83544867928</v>
      </c>
      <c r="AX63" s="34">
        <f t="shared" si="28"/>
        <v>-980472.57798040938</v>
      </c>
      <c r="AY63" s="34">
        <f t="shared" si="28"/>
        <v>-995179.66665011563</v>
      </c>
      <c r="AZ63" s="34">
        <f t="shared" si="28"/>
        <v>-1010107.3616498673</v>
      </c>
      <c r="BA63" s="34">
        <f t="shared" si="28"/>
        <v>-1025258.9720746153</v>
      </c>
      <c r="BB63" s="34"/>
      <c r="BC63" s="34"/>
      <c r="BD63" s="34"/>
      <c r="BE63" s="34"/>
      <c r="BF63" s="34"/>
      <c r="BG63" s="34"/>
      <c r="BH63" s="34"/>
      <c r="BI63" s="34"/>
      <c r="BJ63" s="34"/>
      <c r="BK63" s="34"/>
      <c r="BL63" s="34"/>
      <c r="BM63" s="34"/>
      <c r="BN63" s="34"/>
      <c r="BO63" s="34"/>
    </row>
    <row r="64" spans="1:75">
      <c r="A64" s="41"/>
      <c r="B64" s="27"/>
      <c r="C64" s="27" t="s">
        <v>30</v>
      </c>
      <c r="D64" s="27">
        <f>SUM(E64:BU64)</f>
        <v>-10026979.817412667</v>
      </c>
      <c r="E64" s="27"/>
      <c r="F64" s="27"/>
      <c r="G64" s="27"/>
      <c r="H64" s="27"/>
      <c r="I64" s="27"/>
      <c r="J64" s="27"/>
      <c r="K64" s="27"/>
      <c r="L64" s="27"/>
      <c r="M64" s="34"/>
      <c r="N64" s="34"/>
      <c r="O64" s="34">
        <f t="shared" ref="O64:BA64" si="29">IPMT($D$18, O61, $D$23,$E$65)</f>
        <v>-458368.44888241467</v>
      </c>
      <c r="P64" s="34">
        <f t="shared" si="29"/>
        <v>-449634.4077658148</v>
      </c>
      <c r="Q64" s="34">
        <f t="shared" si="29"/>
        <v>-440769.35603246605</v>
      </c>
      <c r="R64" s="34">
        <f t="shared" si="29"/>
        <v>-431771.328523117</v>
      </c>
      <c r="S64" s="34">
        <f t="shared" si="29"/>
        <v>-422638.33060112776</v>
      </c>
      <c r="T64" s="34">
        <f t="shared" si="29"/>
        <v>-413368.33771030873</v>
      </c>
      <c r="U64" s="34">
        <f t="shared" si="29"/>
        <v>-403959.2949261273</v>
      </c>
      <c r="V64" s="34">
        <f t="shared" si="29"/>
        <v>-394409.11650018313</v>
      </c>
      <c r="W64" s="34">
        <f t="shared" si="29"/>
        <v>-384715.68539784988</v>
      </c>
      <c r="X64" s="34">
        <f t="shared" si="29"/>
        <v>-374876.85282898159</v>
      </c>
      <c r="Y64" s="34">
        <f t="shared" si="29"/>
        <v>-364890.43777158024</v>
      </c>
      <c r="Z64" s="34">
        <f t="shared" si="29"/>
        <v>-354754.226488318</v>
      </c>
      <c r="AA64" s="34">
        <f t="shared" si="29"/>
        <v>-344465.97203580674</v>
      </c>
      <c r="AB64" s="34">
        <f t="shared" si="29"/>
        <v>-334023.3937665078</v>
      </c>
      <c r="AC64" s="34">
        <f t="shared" si="29"/>
        <v>-323424.1768231694</v>
      </c>
      <c r="AD64" s="34">
        <f t="shared" si="29"/>
        <v>-312665.97162568098</v>
      </c>
      <c r="AE64" s="34">
        <f t="shared" si="29"/>
        <v>-301746.39335023012</v>
      </c>
      <c r="AF64" s="34">
        <f t="shared" si="29"/>
        <v>-290663.02140064759</v>
      </c>
      <c r="AG64" s="34">
        <f t="shared" si="29"/>
        <v>-279413.39887182123</v>
      </c>
      <c r="AH64" s="34">
        <f t="shared" si="29"/>
        <v>-267995.03200506256</v>
      </c>
      <c r="AI64" s="34">
        <f t="shared" si="29"/>
        <v>-256405.3896353025</v>
      </c>
      <c r="AJ64" s="34">
        <f t="shared" si="29"/>
        <v>-244641.90262999604</v>
      </c>
      <c r="AK64" s="34">
        <f t="shared" si="29"/>
        <v>-232701.96331960996</v>
      </c>
      <c r="AL64" s="34">
        <f t="shared" si="29"/>
        <v>-220582.92491956809</v>
      </c>
      <c r="AM64" s="34">
        <f t="shared" si="29"/>
        <v>-208282.10094352561</v>
      </c>
      <c r="AN64" s="34">
        <f t="shared" si="29"/>
        <v>-195796.76460784249</v>
      </c>
      <c r="AO64" s="34">
        <f t="shared" si="29"/>
        <v>-183124.14822712404</v>
      </c>
      <c r="AP64" s="34">
        <f t="shared" si="29"/>
        <v>-170261.44260069492</v>
      </c>
      <c r="AQ64" s="34">
        <f t="shared" si="29"/>
        <v>-157205.79638986933</v>
      </c>
      <c r="AR64" s="34">
        <f t="shared" si="29"/>
        <v>-143954.31548588132</v>
      </c>
      <c r="AS64" s="34">
        <f t="shared" si="29"/>
        <v>-130504.06236833357</v>
      </c>
      <c r="AT64" s="34">
        <f t="shared" si="29"/>
        <v>-116852.05545402254</v>
      </c>
      <c r="AU64" s="34">
        <f t="shared" si="29"/>
        <v>-102995.26843599686</v>
      </c>
      <c r="AV64" s="34">
        <f t="shared" si="29"/>
        <v>-88930.629612700795</v>
      </c>
      <c r="AW64" s="34">
        <f t="shared" si="29"/>
        <v>-74655.021207055281</v>
      </c>
      <c r="AX64" s="34">
        <f t="shared" si="29"/>
        <v>-60165.278675325106</v>
      </c>
      <c r="AY64" s="34">
        <f t="shared" si="29"/>
        <v>-45458.190005618977</v>
      </c>
      <c r="AZ64" s="34">
        <f t="shared" si="29"/>
        <v>-30530.49500586724</v>
      </c>
      <c r="BA64" s="34">
        <f t="shared" si="29"/>
        <v>-15378.88458111923</v>
      </c>
      <c r="BB64" s="34"/>
      <c r="BC64" s="34"/>
      <c r="BD64" s="34"/>
      <c r="BE64" s="34"/>
      <c r="BF64" s="34"/>
      <c r="BG64" s="34"/>
      <c r="BH64" s="34"/>
      <c r="BI64" s="34"/>
      <c r="BJ64" s="34"/>
      <c r="BK64" s="34"/>
      <c r="BL64" s="34"/>
      <c r="BM64" s="34"/>
      <c r="BN64" s="34"/>
      <c r="BO64" s="34"/>
    </row>
    <row r="65" spans="1:67">
      <c r="A65" s="41"/>
      <c r="B65" s="33" t="s">
        <v>31</v>
      </c>
      <c r="C65" s="42"/>
      <c r="D65" s="27"/>
      <c r="E65" s="27">
        <f>D24-D24/3</f>
        <v>30557896.592160977</v>
      </c>
      <c r="F65" s="27"/>
      <c r="G65" s="27"/>
      <c r="H65" s="27"/>
      <c r="I65" s="27"/>
      <c r="J65" s="27"/>
      <c r="K65" s="27"/>
      <c r="L65" s="27"/>
      <c r="M65" s="27"/>
      <c r="N65" s="27"/>
      <c r="O65" s="27">
        <f>E65+O63</f>
        <v>29975627.184387658</v>
      </c>
      <c r="P65" s="27">
        <f>O65+P63</f>
        <v>29384623.735497739</v>
      </c>
      <c r="Q65" s="27">
        <f t="shared" ref="Q65" si="30">P65+Q63</f>
        <v>28784755.234874472</v>
      </c>
      <c r="R65" s="27">
        <f t="shared" ref="R65" si="31">Q65+R63</f>
        <v>28175888.706741855</v>
      </c>
      <c r="S65" s="27">
        <f t="shared" ref="S65" si="32">R65+S63</f>
        <v>27557889.180687249</v>
      </c>
      <c r="T65" s="27">
        <f t="shared" ref="T65" si="33">S65+T63</f>
        <v>26930619.661741823</v>
      </c>
      <c r="U65" s="27">
        <f t="shared" ref="U65" si="34">T65+U63</f>
        <v>26293941.100012217</v>
      </c>
      <c r="V65" s="27">
        <f t="shared" ref="V65" si="35">U65+V63</f>
        <v>25647712.359856665</v>
      </c>
      <c r="W65" s="27">
        <f t="shared" ref="W65" si="36">V65+W63</f>
        <v>24991790.188598782</v>
      </c>
      <c r="X65" s="27">
        <f t="shared" ref="X65" si="37">W65+X63</f>
        <v>24326029.18477203</v>
      </c>
      <c r="Y65" s="27">
        <f t="shared" ref="Y65" si="38">X65+Y63</f>
        <v>23650281.765887875</v>
      </c>
      <c r="Z65" s="27">
        <f t="shared" ref="Z65" si="39">Y65+Z63</f>
        <v>22964398.135720458</v>
      </c>
      <c r="AA65" s="27">
        <f t="shared" ref="AA65" si="40">Z65+AA63</f>
        <v>22268226.251100529</v>
      </c>
      <c r="AB65" s="27">
        <f t="shared" ref="AB65" si="41">AA65+AB63</f>
        <v>21561611.788211301</v>
      </c>
      <c r="AC65" s="27">
        <f t="shared" ref="AC65" si="42">AB65+AC63</f>
        <v>20844398.108378734</v>
      </c>
      <c r="AD65" s="27">
        <f t="shared" ref="AD65" si="43">AC65+AD63</f>
        <v>20116426.223348681</v>
      </c>
      <c r="AE65" s="27">
        <f t="shared" ref="AE65" si="44">AD65+AE63</f>
        <v>19377534.760043178</v>
      </c>
      <c r="AF65" s="27">
        <f t="shared" ref="AF65" si="45">AE65+AF63</f>
        <v>18627559.924788091</v>
      </c>
      <c r="AG65" s="27">
        <f t="shared" ref="AG65" si="46">AF65+AG63</f>
        <v>17866335.467004176</v>
      </c>
      <c r="AH65" s="27">
        <f t="shared" ref="AH65" si="47">AG65+AH63</f>
        <v>17093692.642353505</v>
      </c>
      <c r="AI65" s="27">
        <f t="shared" ref="AI65" si="48">AH65+AI63</f>
        <v>16309460.175333073</v>
      </c>
      <c r="AJ65" s="27">
        <f t="shared" ref="AJ65" si="49">AI65+AJ63</f>
        <v>15513464.221307335</v>
      </c>
      <c r="AK65" s="27">
        <f t="shared" ref="AK65" si="50">AJ65+AK63</f>
        <v>14705528.327971211</v>
      </c>
      <c r="AL65" s="27">
        <f t="shared" ref="AL65" si="51">AK65+AL63</f>
        <v>13885473.396235045</v>
      </c>
      <c r="AM65" s="27">
        <f t="shared" ref="AM65" si="52">AL65+AM63</f>
        <v>13053117.640522836</v>
      </c>
      <c r="AN65" s="27">
        <f t="shared" ref="AN65" si="53">AM65+AN63</f>
        <v>12208276.548474943</v>
      </c>
      <c r="AO65" s="27">
        <f t="shared" ref="AO65" si="54">AN65+AO63</f>
        <v>11350762.840046333</v>
      </c>
      <c r="AP65" s="27">
        <f t="shared" ref="AP65" si="55">AO65+AP63</f>
        <v>10480386.425991293</v>
      </c>
      <c r="AQ65" s="27">
        <f t="shared" ref="AQ65" si="56">AP65+AQ63</f>
        <v>9596954.3657254279</v>
      </c>
      <c r="AR65" s="27">
        <f t="shared" ref="AR65" si="57">AQ65+AR63</f>
        <v>8700270.824555574</v>
      </c>
      <c r="AS65" s="27">
        <f t="shared" ref="AS65" si="58">AR65+AS63</f>
        <v>7790137.0302681727</v>
      </c>
      <c r="AT65" s="27">
        <f t="shared" ref="AT65" si="59">AS65+AT63</f>
        <v>6866351.2290664604</v>
      </c>
      <c r="AU65" s="27">
        <f t="shared" ref="AU65" si="60">AT65+AU63</f>
        <v>5928708.6408467228</v>
      </c>
      <c r="AV65" s="27">
        <f t="shared" ref="AV65" si="61">AU65+AV63</f>
        <v>4977001.4138036892</v>
      </c>
      <c r="AW65" s="27">
        <f t="shared" ref="AW65" si="62">AV65+AW63</f>
        <v>4011018.5783550097</v>
      </c>
      <c r="AX65" s="27">
        <f t="shared" ref="AX65" si="63">AW65+AX63</f>
        <v>3030546.0003746003</v>
      </c>
      <c r="AY65" s="27">
        <f t="shared" ref="AY65" si="64">AX65+AY63</f>
        <v>2035366.3337244848</v>
      </c>
      <c r="AZ65" s="27">
        <f t="shared" ref="AZ65" si="65">AY65+AZ63</f>
        <v>1025258.9720746175</v>
      </c>
      <c r="BA65" s="27">
        <f t="shared" ref="BA65" si="66">AZ65+BA63</f>
        <v>2.2118911147117615E-9</v>
      </c>
      <c r="BB65" s="27"/>
      <c r="BC65" s="27"/>
      <c r="BD65" s="27"/>
      <c r="BE65" s="27"/>
      <c r="BF65" s="27"/>
      <c r="BG65" s="27"/>
      <c r="BH65" s="27"/>
      <c r="BI65" s="27"/>
      <c r="BJ65" s="27"/>
      <c r="BK65" s="27"/>
      <c r="BL65" s="27"/>
      <c r="BM65" s="27"/>
      <c r="BN65" s="27"/>
      <c r="BO65" s="27"/>
    </row>
    <row r="66" spans="1:67" ht="21">
      <c r="A66" s="43"/>
      <c r="B66" s="26" t="s">
        <v>32</v>
      </c>
      <c r="C66" s="27"/>
      <c r="D66" s="27">
        <f>SUM(E66:BU66)</f>
        <v>-31339704.848528162</v>
      </c>
      <c r="E66" s="27"/>
      <c r="F66" s="27"/>
      <c r="G66" s="27"/>
      <c r="H66" s="27"/>
      <c r="I66" s="27"/>
      <c r="J66" s="27"/>
      <c r="K66" s="27"/>
      <c r="L66" s="27"/>
      <c r="M66" s="27"/>
      <c r="N66" s="27"/>
      <c r="O66" s="27">
        <f>O62*O29</f>
        <v>-975804.20487651497</v>
      </c>
      <c r="P66" s="27">
        <f t="shared" ref="P66:BA66" si="67">P62*P29</f>
        <v>-965521.40194579225</v>
      </c>
      <c r="Q66" s="27">
        <f t="shared" si="67"/>
        <v>-955346.95685528335</v>
      </c>
      <c r="R66" s="27">
        <f t="shared" si="67"/>
        <v>-945279.72775469592</v>
      </c>
      <c r="S66" s="27">
        <f t="shared" si="67"/>
        <v>-935318.58482629596</v>
      </c>
      <c r="T66" s="27">
        <f t="shared" si="67"/>
        <v>-925462.41015811195</v>
      </c>
      <c r="U66" s="27">
        <f t="shared" si="67"/>
        <v>-915710.09761847509</v>
      </c>
      <c r="V66" s="27">
        <f t="shared" si="67"/>
        <v>-906060.55273188057</v>
      </c>
      <c r="W66" s="27">
        <f t="shared" si="67"/>
        <v>-896512.69255615759</v>
      </c>
      <c r="X66" s="27">
        <f t="shared" si="67"/>
        <v>-887065.44556093344</v>
      </c>
      <c r="Y66" s="27">
        <f t="shared" si="67"/>
        <v>-877717.75150737981</v>
      </c>
      <c r="Z66" s="27">
        <f t="shared" si="67"/>
        <v>-868468.56132922356</v>
      </c>
      <c r="AA66" s="27">
        <f t="shared" si="67"/>
        <v>-859316.83701501391</v>
      </c>
      <c r="AB66" s="27">
        <f t="shared" si="67"/>
        <v>-850261.5514916277</v>
      </c>
      <c r="AC66" s="27">
        <f t="shared" si="67"/>
        <v>-841301.68850900698</v>
      </c>
      <c r="AD66" s="27">
        <f t="shared" si="67"/>
        <v>-832436.24252610398</v>
      </c>
      <c r="AE66" s="27">
        <f t="shared" si="67"/>
        <v>-823664.21859803481</v>
      </c>
      <c r="AF66" s="27">
        <f t="shared" si="67"/>
        <v>-814984.63226441876</v>
      </c>
      <c r="AG66" s="27">
        <f t="shared" si="67"/>
        <v>-806396.50943889446</v>
      </c>
      <c r="AH66" s="27">
        <f t="shared" si="67"/>
        <v>-797898.88629980164</v>
      </c>
      <c r="AI66" s="27">
        <f t="shared" si="67"/>
        <v>-789490.80918201315</v>
      </c>
      <c r="AJ66" s="27">
        <f t="shared" si="67"/>
        <v>-781171.33446990862</v>
      </c>
      <c r="AK66" s="27">
        <f t="shared" si="67"/>
        <v>-772939.52849147434</v>
      </c>
      <c r="AL66" s="27">
        <f t="shared" si="67"/>
        <v>-764794.46741352032</v>
      </c>
      <c r="AM66" s="27">
        <f t="shared" si="67"/>
        <v>-756735.23713800067</v>
      </c>
      <c r="AN66" s="27">
        <f t="shared" si="67"/>
        <v>-748760.93319942662</v>
      </c>
      <c r="AO66" s="27">
        <f t="shared" si="67"/>
        <v>-740870.66066336178</v>
      </c>
      <c r="AP66" s="27">
        <f t="shared" si="67"/>
        <v>-733063.53402598505</v>
      </c>
      <c r="AQ66" s="27">
        <f t="shared" si="67"/>
        <v>-725338.67711471347</v>
      </c>
      <c r="AR66" s="27">
        <f t="shared" si="67"/>
        <v>-717695.22298987117</v>
      </c>
      <c r="AS66" s="27">
        <f t="shared" si="67"/>
        <v>-710132.31384739641</v>
      </c>
      <c r="AT66" s="27">
        <f t="shared" si="67"/>
        <v>-702649.10092257103</v>
      </c>
      <c r="AU66" s="27">
        <f t="shared" si="67"/>
        <v>-695244.74439476675</v>
      </c>
      <c r="AV66" s="27">
        <f t="shared" si="67"/>
        <v>-687918.41329319426</v>
      </c>
      <c r="AW66" s="27">
        <f t="shared" si="67"/>
        <v>-680669.28540364536</v>
      </c>
      <c r="AX66" s="27">
        <f t="shared" si="67"/>
        <v>-673496.54717621859</v>
      </c>
      <c r="AY66" s="27">
        <f t="shared" si="67"/>
        <v>-666399.39363401628</v>
      </c>
      <c r="AZ66" s="27">
        <f t="shared" si="67"/>
        <v>-659377.02828280453</v>
      </c>
      <c r="BA66" s="27">
        <f t="shared" si="67"/>
        <v>-652428.66302162409</v>
      </c>
      <c r="BB66" s="27"/>
      <c r="BC66" s="27"/>
      <c r="BD66" s="27"/>
      <c r="BE66" s="27"/>
      <c r="BF66" s="27"/>
      <c r="BG66" s="27"/>
      <c r="BH66" s="27"/>
      <c r="BI66" s="27"/>
      <c r="BJ66" s="27"/>
      <c r="BK66" s="27"/>
      <c r="BL66" s="27"/>
      <c r="BM66" s="27"/>
      <c r="BN66" s="27"/>
      <c r="BO66" s="27"/>
    </row>
    <row r="67" spans="1:67">
      <c r="A67" s="27"/>
      <c r="B67" s="27"/>
      <c r="C67" s="27" t="s">
        <v>29</v>
      </c>
      <c r="D67" s="27">
        <f>SUM(E67:BU67)</f>
        <v>-20385518.646216575</v>
      </c>
      <c r="E67" s="27"/>
      <c r="F67" s="27"/>
      <c r="G67" s="27"/>
      <c r="H67" s="27"/>
      <c r="I67" s="27"/>
      <c r="J67" s="27"/>
      <c r="K67" s="27"/>
      <c r="L67" s="27"/>
      <c r="M67" s="27"/>
      <c r="N67" s="27"/>
      <c r="O67" s="27">
        <f>O63*O29</f>
        <v>-481182.61392496893</v>
      </c>
      <c r="P67" s="27">
        <f t="shared" ref="P67:BA67" si="68">P63*P29</f>
        <v>-483253.70121589425</v>
      </c>
      <c r="Q67" s="27">
        <f t="shared" si="68"/>
        <v>-485333.70279931976</v>
      </c>
      <c r="R67" s="27">
        <f t="shared" si="68"/>
        <v>-487422.6570437933</v>
      </c>
      <c r="S67" s="27">
        <f t="shared" si="68"/>
        <v>-489520.60248300619</v>
      </c>
      <c r="T67" s="27">
        <f t="shared" si="68"/>
        <v>-491627.57781650533</v>
      </c>
      <c r="U67" s="27">
        <f t="shared" si="68"/>
        <v>-493743.62191040715</v>
      </c>
      <c r="V67" s="27">
        <f t="shared" si="68"/>
        <v>-495868.77379811328</v>
      </c>
      <c r="W67" s="27">
        <f t="shared" si="68"/>
        <v>-498003.07268103212</v>
      </c>
      <c r="X67" s="27">
        <f t="shared" si="68"/>
        <v>-500146.5579293003</v>
      </c>
      <c r="Y67" s="27">
        <f t="shared" si="68"/>
        <v>-502299.26908251113</v>
      </c>
      <c r="Z67" s="27">
        <f t="shared" si="68"/>
        <v>-504461.24585044151</v>
      </c>
      <c r="AA67" s="27">
        <f t="shared" si="68"/>
        <v>-506632.52811378648</v>
      </c>
      <c r="AB67" s="27">
        <f t="shared" si="68"/>
        <v>-508813.1559248931</v>
      </c>
      <c r="AC67" s="27">
        <f t="shared" si="68"/>
        <v>-511003.1695085009</v>
      </c>
      <c r="AD67" s="27">
        <f t="shared" si="68"/>
        <v>-513202.60926248308</v>
      </c>
      <c r="AE67" s="27">
        <f t="shared" si="68"/>
        <v>-515411.5157585913</v>
      </c>
      <c r="AF67" s="27">
        <f t="shared" si="68"/>
        <v>-517629.92974320496</v>
      </c>
      <c r="AG67" s="27">
        <f t="shared" si="68"/>
        <v>-519857.89213808253</v>
      </c>
      <c r="AH67" s="27">
        <f t="shared" si="68"/>
        <v>-522095.44404111593</v>
      </c>
      <c r="AI67" s="27">
        <f t="shared" si="68"/>
        <v>-524342.62672708905</v>
      </c>
      <c r="AJ67" s="27">
        <f t="shared" si="68"/>
        <v>-526599.48164843954</v>
      </c>
      <c r="AK67" s="27">
        <f t="shared" si="68"/>
        <v>-528866.05043602246</v>
      </c>
      <c r="AL67" s="27">
        <f t="shared" si="68"/>
        <v>-531142.37489987898</v>
      </c>
      <c r="AM67" s="27">
        <f t="shared" si="68"/>
        <v>-533428.49703000765</v>
      </c>
      <c r="AN67" s="27">
        <f t="shared" si="68"/>
        <v>-535724.45899713808</v>
      </c>
      <c r="AO67" s="27">
        <f t="shared" si="68"/>
        <v>-538030.30315351021</v>
      </c>
      <c r="AP67" s="27">
        <f t="shared" si="68"/>
        <v>-540346.07203365443</v>
      </c>
      <c r="AQ67" s="27">
        <f t="shared" si="68"/>
        <v>-542671.80835517682</v>
      </c>
      <c r="AR67" s="27">
        <f t="shared" si="68"/>
        <v>-545007.55501954618</v>
      </c>
      <c r="AS67" s="27">
        <f t="shared" si="68"/>
        <v>-547353.3551128871</v>
      </c>
      <c r="AT67" s="27">
        <f t="shared" si="68"/>
        <v>-549709.25190677319</v>
      </c>
      <c r="AU67" s="27">
        <f t="shared" si="68"/>
        <v>-552075.28885902627</v>
      </c>
      <c r="AV67" s="27">
        <f t="shared" si="68"/>
        <v>-554451.5096145171</v>
      </c>
      <c r="AW67" s="27">
        <f t="shared" si="68"/>
        <v>-556837.95800597116</v>
      </c>
      <c r="AX67" s="27">
        <f t="shared" si="68"/>
        <v>-559234.67805477732</v>
      </c>
      <c r="AY67" s="27">
        <f t="shared" si="68"/>
        <v>-561641.71397179936</v>
      </c>
      <c r="AZ67" s="27">
        <f t="shared" si="68"/>
        <v>-564059.11015819153</v>
      </c>
      <c r="BA67" s="27">
        <f t="shared" si="68"/>
        <v>-566486.91120621818</v>
      </c>
      <c r="BB67" s="27"/>
      <c r="BC67" s="27"/>
      <c r="BD67" s="27"/>
      <c r="BE67" s="27"/>
      <c r="BF67" s="27"/>
      <c r="BG67" s="27"/>
      <c r="BH67" s="27"/>
      <c r="BI67" s="27"/>
      <c r="BJ67" s="27"/>
      <c r="BK67" s="27"/>
      <c r="BL67" s="27"/>
      <c r="BM67" s="27"/>
      <c r="BN67" s="27"/>
      <c r="BO67" s="27"/>
    </row>
    <row r="68" spans="1:67">
      <c r="A68" s="27"/>
      <c r="B68" s="27"/>
      <c r="C68" s="27" t="s">
        <v>30</v>
      </c>
      <c r="D68" s="27">
        <f>SUM(E68:BU68)</f>
        <v>-7234107.2348222584</v>
      </c>
      <c r="E68" s="27"/>
      <c r="F68" s="27"/>
      <c r="G68" s="27"/>
      <c r="H68" s="27"/>
      <c r="I68" s="27"/>
      <c r="J68" s="27"/>
      <c r="K68" s="27"/>
      <c r="L68" s="27"/>
      <c r="M68" s="27"/>
      <c r="N68" s="27"/>
      <c r="O68" s="27">
        <f>O64*O29</f>
        <v>-378791.88813546323</v>
      </c>
      <c r="P68" s="27">
        <f t="shared" ref="P68:BA68" si="69">P64*P29</f>
        <v>-367658.58499637723</v>
      </c>
      <c r="Q68" s="27">
        <f t="shared" si="69"/>
        <v>-356611.86313574313</v>
      </c>
      <c r="R68" s="27">
        <f t="shared" si="69"/>
        <v>-345650.67787439108</v>
      </c>
      <c r="S68" s="27">
        <f t="shared" si="69"/>
        <v>-334773.99497227947</v>
      </c>
      <c r="T68" s="27">
        <f t="shared" si="69"/>
        <v>-323980.79051603854</v>
      </c>
      <c r="U68" s="27">
        <f t="shared" si="69"/>
        <v>-313270.05080768903</v>
      </c>
      <c r="V68" s="27">
        <f t="shared" si="69"/>
        <v>-302640.77225452219</v>
      </c>
      <c r="W68" s="27">
        <f t="shared" si="69"/>
        <v>-292091.96126013016</v>
      </c>
      <c r="X68" s="27">
        <f t="shared" si="69"/>
        <v>-281622.63411657314</v>
      </c>
      <c r="Y68" s="27">
        <f t="shared" si="69"/>
        <v>-271231.81689767336</v>
      </c>
      <c r="Z68" s="27">
        <f t="shared" si="69"/>
        <v>-260918.54535342177</v>
      </c>
      <c r="AA68" s="27">
        <f t="shared" si="69"/>
        <v>-250681.86480548675</v>
      </c>
      <c r="AB68" s="27">
        <f t="shared" si="69"/>
        <v>-240520.83004381324</v>
      </c>
      <c r="AC68" s="27">
        <f t="shared" si="69"/>
        <v>-230434.50522430107</v>
      </c>
      <c r="AD68" s="27">
        <f t="shared" si="69"/>
        <v>-220421.96376754923</v>
      </c>
      <c r="AE68" s="27">
        <f t="shared" si="69"/>
        <v>-210482.28825865721</v>
      </c>
      <c r="AF68" s="27">
        <f t="shared" si="69"/>
        <v>-200614.5703480714</v>
      </c>
      <c r="AG68" s="27">
        <f t="shared" si="69"/>
        <v>-190817.91065346388</v>
      </c>
      <c r="AH68" s="27">
        <f t="shared" si="69"/>
        <v>-181091.41866263561</v>
      </c>
      <c r="AI68" s="27">
        <f t="shared" si="69"/>
        <v>-171434.21263743026</v>
      </c>
      <c r="AJ68" s="27">
        <f t="shared" si="69"/>
        <v>-161845.41951865028</v>
      </c>
      <c r="AK68" s="27">
        <f t="shared" si="69"/>
        <v>-152324.17483196329</v>
      </c>
      <c r="AL68" s="27">
        <f t="shared" si="69"/>
        <v>-142869.62259478844</v>
      </c>
      <c r="AM68" s="27">
        <f t="shared" si="69"/>
        <v>-133480.91522415302</v>
      </c>
      <c r="AN68" s="27">
        <f t="shared" si="69"/>
        <v>-124157.21344550824</v>
      </c>
      <c r="AO68" s="27">
        <f t="shared" si="69"/>
        <v>-114897.68620249456</v>
      </c>
      <c r="AP68" s="27">
        <f t="shared" si="69"/>
        <v>-105701.5105676465</v>
      </c>
      <c r="AQ68" s="27">
        <f t="shared" si="69"/>
        <v>-96567.871654026327</v>
      </c>
      <c r="AR68" s="27">
        <f t="shared" si="69"/>
        <v>-87495.962527777796</v>
      </c>
      <c r="AS68" s="27">
        <f t="shared" si="69"/>
        <v>-78484.984121589703</v>
      </c>
      <c r="AT68" s="27">
        <f t="shared" si="69"/>
        <v>-69534.14514905891</v>
      </c>
      <c r="AU68" s="27">
        <f t="shared" si="69"/>
        <v>-60642.662019944895</v>
      </c>
      <c r="AV68" s="27">
        <f t="shared" si="69"/>
        <v>-51809.758756304858</v>
      </c>
      <c r="AW68" s="27">
        <f t="shared" si="69"/>
        <v>-43034.666909500906</v>
      </c>
      <c r="AX68" s="27">
        <f t="shared" si="69"/>
        <v>-34316.625478069902</v>
      </c>
      <c r="AY68" s="27">
        <f t="shared" si="69"/>
        <v>-25654.880826446592</v>
      </c>
      <c r="AZ68" s="27">
        <f t="shared" si="69"/>
        <v>-17048.68660453134</v>
      </c>
      <c r="BA68" s="27">
        <f t="shared" si="69"/>
        <v>-8497.3036680932728</v>
      </c>
      <c r="BB68" s="27"/>
      <c r="BC68" s="27"/>
      <c r="BD68" s="27"/>
      <c r="BE68" s="27"/>
      <c r="BF68" s="27"/>
      <c r="BG68" s="27"/>
      <c r="BH68" s="27"/>
      <c r="BI68" s="27"/>
      <c r="BJ68" s="27"/>
      <c r="BK68" s="27"/>
      <c r="BL68" s="27"/>
      <c r="BM68" s="27"/>
      <c r="BN68" s="27"/>
      <c r="BO68" s="27"/>
    </row>
    <row r="69" spans="1:67">
      <c r="G69" s="45"/>
      <c r="J69" s="46"/>
    </row>
    <row r="70" spans="1:67">
      <c r="A70" s="24"/>
      <c r="C70" s="47"/>
      <c r="D70" s="47"/>
      <c r="E70" s="47"/>
      <c r="F70" s="47"/>
      <c r="G70" s="45"/>
    </row>
    <row r="71" spans="1:67">
      <c r="A71" s="24"/>
      <c r="C71" s="47"/>
      <c r="D71" s="47"/>
      <c r="E71" s="47"/>
      <c r="F71" s="47"/>
      <c r="G71" s="45"/>
      <c r="J71" s="48"/>
    </row>
    <row r="72" spans="1:67">
      <c r="A72" s="24"/>
      <c r="C72" s="47"/>
      <c r="D72" s="47"/>
      <c r="E72" s="47"/>
      <c r="F72" s="47"/>
      <c r="G72" s="45"/>
    </row>
    <row r="73" spans="1:67">
      <c r="A73" s="24"/>
      <c r="C73" s="47"/>
      <c r="D73" s="47"/>
      <c r="E73" s="47"/>
      <c r="F73" s="47"/>
      <c r="G73" s="45"/>
      <c r="J73" s="45"/>
    </row>
    <row r="74" spans="1:67">
      <c r="A74" s="24"/>
      <c r="C74" s="47"/>
      <c r="D74" s="47"/>
      <c r="E74" s="47"/>
      <c r="F74" s="47"/>
      <c r="G74" s="45"/>
    </row>
    <row r="75" spans="1:67">
      <c r="A75" s="24"/>
      <c r="C75" s="47"/>
      <c r="D75" s="47"/>
      <c r="E75" s="47"/>
      <c r="F75" s="47"/>
      <c r="G75" s="45"/>
    </row>
    <row r="76" spans="1:67">
      <c r="A76" s="24"/>
      <c r="C76" s="47"/>
      <c r="D76" s="47"/>
      <c r="E76" s="47"/>
      <c r="F76" s="47"/>
      <c r="G76" s="45"/>
    </row>
    <row r="77" spans="1:67">
      <c r="A77" s="24"/>
      <c r="C77" s="47"/>
      <c r="D77" s="47"/>
      <c r="E77" s="47"/>
      <c r="F77" s="47"/>
      <c r="G77" s="45"/>
    </row>
    <row r="78" spans="1:67">
      <c r="A78" s="24"/>
      <c r="C78" s="47"/>
      <c r="D78" s="47"/>
      <c r="E78" s="47"/>
      <c r="F78" s="47"/>
      <c r="G78" s="45"/>
    </row>
    <row r="79" spans="1:67">
      <c r="A79" s="24"/>
      <c r="C79" s="47"/>
      <c r="D79" s="47"/>
      <c r="E79" s="47"/>
      <c r="F79" s="47"/>
      <c r="G79" s="45"/>
    </row>
    <row r="80" spans="1:67">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E1E8-02DF-3B43-8113-EE09C0A32866}">
  <sheetPr>
    <tabColor rgb="FF7030A0"/>
  </sheetPr>
  <dimension ref="A1:CB91"/>
  <sheetViews>
    <sheetView topLeftCell="A4" zoomScale="90" zoomScaleNormal="90" workbookViewId="0">
      <pane xSplit="5" ySplit="27" topLeftCell="F31" activePane="bottomRight" state="frozen"/>
      <selection activeCell="A26" sqref="A26:A28"/>
      <selection pane="topRight" activeCell="A26" sqref="A26:A28"/>
      <selection pane="bottomLeft" activeCell="A26" sqref="A26:A28"/>
      <selection pane="bottomRight" activeCell="C30" sqref="C30"/>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3.4">
      <c r="A4" s="62" t="s">
        <v>68</v>
      </c>
    </row>
    <row r="5" spans="1:7" ht="21">
      <c r="A5" s="1"/>
    </row>
    <row r="6" spans="1:7" ht="21">
      <c r="A6" s="347" t="s">
        <v>1</v>
      </c>
      <c r="B6" s="348"/>
      <c r="C6" s="348"/>
      <c r="D6" s="349"/>
      <c r="F6" s="321" t="s">
        <v>2</v>
      </c>
      <c r="G6" s="322"/>
    </row>
    <row r="7" spans="1:7">
      <c r="A7" s="257" t="s">
        <v>3</v>
      </c>
      <c r="B7" s="263"/>
      <c r="C7" s="263"/>
      <c r="D7" s="295">
        <f>Data!D11</f>
        <v>2014</v>
      </c>
      <c r="F7" s="6" t="s">
        <v>4</v>
      </c>
      <c r="G7" s="7">
        <f>D13</f>
        <v>328100000</v>
      </c>
    </row>
    <row r="8" spans="1:7">
      <c r="A8" s="257" t="s">
        <v>5</v>
      </c>
      <c r="B8" s="263"/>
      <c r="C8" s="263"/>
      <c r="D8" s="296">
        <f>Data!F11</f>
        <v>2.5000000000000001E-3</v>
      </c>
      <c r="F8" s="6" t="s">
        <v>6</v>
      </c>
      <c r="G8" s="9">
        <f>D33*-1</f>
        <v>338869742.50442439</v>
      </c>
    </row>
    <row r="9" spans="1:7">
      <c r="A9" s="257" t="s">
        <v>7</v>
      </c>
      <c r="B9" s="263"/>
      <c r="C9" s="263"/>
      <c r="D9" s="260">
        <f>Data!G11</f>
        <v>4</v>
      </c>
      <c r="F9" s="11" t="s">
        <v>8</v>
      </c>
      <c r="G9" s="12">
        <f>D37*-1</f>
        <v>242230172.34695789</v>
      </c>
    </row>
    <row r="10" spans="1:7">
      <c r="A10" s="257" t="s">
        <v>9</v>
      </c>
      <c r="B10" s="263"/>
      <c r="C10" s="263"/>
      <c r="D10" s="260">
        <f>Data!E11</f>
        <v>16.5</v>
      </c>
    </row>
    <row r="11" spans="1:7">
      <c r="A11" s="257" t="s">
        <v>10</v>
      </c>
      <c r="B11" s="263"/>
      <c r="C11" s="263"/>
      <c r="D11" s="260">
        <v>2</v>
      </c>
      <c r="F11" s="321" t="s">
        <v>11</v>
      </c>
      <c r="G11" s="322"/>
    </row>
    <row r="12" spans="1:7">
      <c r="A12" s="257" t="s">
        <v>12</v>
      </c>
      <c r="B12" s="263"/>
      <c r="C12" s="263"/>
      <c r="D12" s="260">
        <f>(D10-D9)*2</f>
        <v>25</v>
      </c>
      <c r="F12" s="6" t="s">
        <v>4</v>
      </c>
      <c r="G12" s="7">
        <f>D13</f>
        <v>328100000</v>
      </c>
    </row>
    <row r="13" spans="1:7">
      <c r="A13" s="257" t="s">
        <v>259</v>
      </c>
      <c r="B13" s="263"/>
      <c r="C13" s="263"/>
      <c r="D13" s="297">
        <f>Data!B11</f>
        <v>328100000</v>
      </c>
      <c r="F13" s="6" t="s">
        <v>31</v>
      </c>
      <c r="G13" s="9">
        <f>D24</f>
        <v>315365460.29982305</v>
      </c>
    </row>
    <row r="14" spans="1:7">
      <c r="A14" s="298" t="s">
        <v>15</v>
      </c>
      <c r="B14" s="261"/>
      <c r="C14" s="261"/>
      <c r="D14" s="299">
        <v>3.2899999999999999E-2</v>
      </c>
      <c r="F14" s="6" t="s">
        <v>6</v>
      </c>
      <c r="G14" s="9">
        <f>(D44+D53+D62)*-1</f>
        <v>456934445.63448906</v>
      </c>
    </row>
    <row r="15" spans="1:7">
      <c r="A15" s="263"/>
      <c r="B15" s="263"/>
      <c r="C15" s="263"/>
      <c r="D15" s="263"/>
      <c r="E15" s="16"/>
      <c r="F15" s="11" t="s">
        <v>8</v>
      </c>
      <c r="G15" s="12">
        <f>(D48+D57+D66)*-1</f>
        <v>279852367.50310796</v>
      </c>
    </row>
    <row r="16" spans="1:7" ht="20.399999999999999">
      <c r="A16" s="350" t="s">
        <v>16</v>
      </c>
      <c r="B16" s="351"/>
      <c r="C16" s="351"/>
      <c r="D16" s="352"/>
      <c r="E16" s="16"/>
      <c r="F16" s="16"/>
    </row>
    <row r="17" spans="1:80">
      <c r="A17" s="257" t="s">
        <v>17</v>
      </c>
      <c r="B17" s="263"/>
      <c r="C17" s="263"/>
      <c r="D17" s="300">
        <f>Data!H11</f>
        <v>2019</v>
      </c>
      <c r="E17" s="16"/>
      <c r="F17" s="323" t="s">
        <v>109</v>
      </c>
      <c r="G17" s="324"/>
      <c r="H17" s="120"/>
    </row>
    <row r="18" spans="1:80">
      <c r="A18" s="257" t="s">
        <v>5</v>
      </c>
      <c r="B18" s="263"/>
      <c r="C18" s="263"/>
      <c r="D18" s="259">
        <f>Data!N11</f>
        <v>1.4999999999999999E-2</v>
      </c>
      <c r="E18" s="16"/>
      <c r="F18" s="121" t="s">
        <v>44</v>
      </c>
      <c r="G18" s="118" t="s">
        <v>45</v>
      </c>
      <c r="H18" s="58"/>
    </row>
    <row r="19" spans="1:80">
      <c r="A19" s="257" t="s">
        <v>7</v>
      </c>
      <c r="B19" s="263"/>
      <c r="C19" s="263"/>
      <c r="D19" s="260">
        <f>Data!O11</f>
        <v>4</v>
      </c>
      <c r="E19" s="16"/>
      <c r="F19" s="119">
        <f>(1-((D8/D11)/D25))*(1-(((1/((1+D25)^(D11*D9)))-(1/((1+D25)^(D11*D10))))/(D25*(D11*D10-D11*D9))))</f>
        <v>0.37174856851743532</v>
      </c>
      <c r="G19" s="122">
        <f>(1-((D18/D21)/D25))*(1-(((1/((1+D25)^(D21*D19)))-(1/((1+D25)^(D21*D20))))/(D25*(D21*D20-D21*D19))))</f>
        <v>0.38478230541559127</v>
      </c>
    </row>
    <row r="20" spans="1:80">
      <c r="A20" s="257" t="s">
        <v>9</v>
      </c>
      <c r="B20" s="263"/>
      <c r="C20" s="263"/>
      <c r="D20" s="260">
        <f>Data!M11</f>
        <v>31.5</v>
      </c>
      <c r="E20" s="16"/>
      <c r="F20" s="16"/>
    </row>
    <row r="21" spans="1:80">
      <c r="A21" s="257" t="s">
        <v>10</v>
      </c>
      <c r="B21" s="263"/>
      <c r="C21" s="263"/>
      <c r="D21" s="260">
        <v>2</v>
      </c>
      <c r="E21" s="16"/>
      <c r="F21" s="16"/>
    </row>
    <row r="22" spans="1:80">
      <c r="A22" s="257" t="s">
        <v>12</v>
      </c>
      <c r="B22" s="263"/>
      <c r="C22" s="263"/>
      <c r="D22" s="260">
        <f>(D20-D19)*2</f>
        <v>55</v>
      </c>
      <c r="E22" s="16"/>
      <c r="F22" s="16"/>
    </row>
    <row r="23" spans="1:80">
      <c r="A23" s="257" t="s">
        <v>42</v>
      </c>
      <c r="B23" s="263"/>
      <c r="C23" s="263"/>
      <c r="D23" s="309">
        <f>D22-'ROC - Outstanding Balances'!O81-6</f>
        <v>48</v>
      </c>
      <c r="E23" s="16"/>
      <c r="F23" s="16"/>
    </row>
    <row r="24" spans="1:80">
      <c r="A24" s="257" t="s">
        <v>260</v>
      </c>
      <c r="B24" s="263"/>
      <c r="C24" s="263"/>
      <c r="D24" s="301">
        <f>Data!L11</f>
        <v>315365460.29982305</v>
      </c>
      <c r="E24" s="16"/>
      <c r="F24" s="16"/>
    </row>
    <row r="25" spans="1:80">
      <c r="A25" s="196" t="s">
        <v>187</v>
      </c>
      <c r="B25" s="14"/>
      <c r="C25" s="14"/>
      <c r="D25" s="195">
        <f>(1.05^0.5)-1</f>
        <v>2.4695076595959931E-2</v>
      </c>
      <c r="E25" s="16"/>
      <c r="F25" s="16"/>
    </row>
    <row r="26" spans="1:80" s="19" customFormat="1" ht="46.8">
      <c r="A26" s="302" t="s">
        <v>43</v>
      </c>
      <c r="E26" s="20"/>
      <c r="F26" s="21" t="s">
        <v>19</v>
      </c>
      <c r="H26" s="51"/>
      <c r="L26" s="21" t="s">
        <v>20</v>
      </c>
      <c r="N26" s="51"/>
      <c r="R26" s="51"/>
      <c r="T26" s="51"/>
      <c r="W26" s="51"/>
      <c r="Y26" s="51"/>
      <c r="AA26" s="51"/>
      <c r="AD26" s="21" t="s">
        <v>21</v>
      </c>
      <c r="AI26" s="51"/>
      <c r="BC26" s="51"/>
      <c r="BE26" s="51"/>
      <c r="BH26" s="21" t="s">
        <v>22</v>
      </c>
      <c r="BM26" s="51"/>
      <c r="BO26" s="51"/>
    </row>
    <row r="27" spans="1:80">
      <c r="A27" s="262" t="s">
        <v>23</v>
      </c>
      <c r="D27" s="2"/>
      <c r="E27" s="23" t="s">
        <v>87</v>
      </c>
      <c r="F27" s="24">
        <v>43465</v>
      </c>
      <c r="G27" s="24">
        <v>43646</v>
      </c>
      <c r="H27" s="24">
        <v>43830</v>
      </c>
      <c r="I27" s="24">
        <v>44012</v>
      </c>
      <c r="J27" s="24">
        <v>44196</v>
      </c>
      <c r="K27" s="24">
        <v>44377</v>
      </c>
      <c r="L27" s="24">
        <v>44561</v>
      </c>
      <c r="M27" s="24">
        <v>44742</v>
      </c>
      <c r="N27" s="24">
        <v>44926</v>
      </c>
      <c r="O27" s="24">
        <v>45107</v>
      </c>
      <c r="P27" s="24">
        <v>45291</v>
      </c>
      <c r="Q27" s="24">
        <v>45473</v>
      </c>
      <c r="R27" s="24">
        <v>45657</v>
      </c>
      <c r="S27" s="24">
        <v>45838</v>
      </c>
      <c r="T27" s="24">
        <v>46022</v>
      </c>
      <c r="U27" s="24">
        <v>46203</v>
      </c>
      <c r="V27" s="24">
        <v>46387</v>
      </c>
      <c r="W27" s="24">
        <v>46568</v>
      </c>
      <c r="X27" s="24">
        <v>46752</v>
      </c>
      <c r="Y27" s="24">
        <v>46934</v>
      </c>
      <c r="Z27" s="24">
        <v>47118</v>
      </c>
      <c r="AA27" s="24">
        <v>47299</v>
      </c>
      <c r="AB27" s="24">
        <v>47483</v>
      </c>
      <c r="AC27" s="24">
        <v>47664</v>
      </c>
      <c r="AD27" s="24">
        <v>47848</v>
      </c>
      <c r="AE27" s="24">
        <v>48029</v>
      </c>
      <c r="AF27" s="24">
        <v>48213</v>
      </c>
      <c r="AG27" s="24">
        <v>48395</v>
      </c>
      <c r="AH27" s="24">
        <v>48579</v>
      </c>
      <c r="AI27" s="24">
        <v>48760</v>
      </c>
      <c r="AJ27" s="24">
        <v>48944</v>
      </c>
      <c r="AK27" s="24">
        <v>49125</v>
      </c>
      <c r="AL27" s="24">
        <v>49309</v>
      </c>
      <c r="AM27" s="24">
        <v>49490</v>
      </c>
      <c r="AN27" s="24">
        <v>49674</v>
      </c>
      <c r="AO27" s="24">
        <v>49856</v>
      </c>
      <c r="AP27" s="24">
        <v>50040</v>
      </c>
      <c r="AQ27" s="24">
        <v>50221</v>
      </c>
      <c r="AR27" s="24">
        <v>50405</v>
      </c>
      <c r="AS27" s="24">
        <v>50586</v>
      </c>
      <c r="AT27" s="24">
        <v>50770</v>
      </c>
      <c r="AU27" s="24">
        <v>50951</v>
      </c>
      <c r="AV27" s="24">
        <v>51135</v>
      </c>
      <c r="AW27" s="24">
        <v>51317</v>
      </c>
      <c r="AX27" s="24">
        <v>51501</v>
      </c>
      <c r="AY27" s="24">
        <v>51682</v>
      </c>
      <c r="AZ27" s="24">
        <v>51866</v>
      </c>
      <c r="BA27" s="24">
        <v>52047</v>
      </c>
      <c r="BB27" s="24">
        <v>52231</v>
      </c>
      <c r="BC27" s="24">
        <v>52412</v>
      </c>
      <c r="BD27" s="24">
        <v>52596</v>
      </c>
      <c r="BE27" s="24">
        <v>52778</v>
      </c>
      <c r="BF27" s="24">
        <v>52962</v>
      </c>
      <c r="BG27" s="24">
        <v>53143</v>
      </c>
      <c r="BH27" s="24">
        <v>53327</v>
      </c>
      <c r="BI27" s="24"/>
      <c r="BJ27" s="24"/>
      <c r="BK27" s="24"/>
      <c r="BL27" s="24"/>
      <c r="BM27" s="24"/>
      <c r="BN27" s="24"/>
      <c r="BO27" s="24"/>
      <c r="BP27" s="24"/>
      <c r="BQ27" s="24"/>
      <c r="BR27" s="24"/>
      <c r="BS27" s="24"/>
      <c r="BT27" s="24"/>
      <c r="BU27" s="24"/>
      <c r="BV27" s="24"/>
      <c r="BW27" s="24"/>
      <c r="BX27" s="24"/>
      <c r="BY27" s="24"/>
      <c r="BZ27" s="24"/>
      <c r="CA27" s="24"/>
      <c r="CB27" s="24"/>
    </row>
    <row r="28" spans="1:80">
      <c r="A28" s="262" t="s">
        <v>38</v>
      </c>
      <c r="D28" s="2"/>
      <c r="E28" s="23"/>
      <c r="F28" s="54">
        <f>(D9*2)+1</f>
        <v>9</v>
      </c>
      <c r="G28" s="54">
        <f>F28+1</f>
        <v>10</v>
      </c>
      <c r="H28" s="54">
        <f t="shared" ref="H28:BH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f t="shared" si="0"/>
        <v>59</v>
      </c>
      <c r="BE28" s="54">
        <f t="shared" si="0"/>
        <v>60</v>
      </c>
      <c r="BF28" s="54">
        <f t="shared" si="0"/>
        <v>61</v>
      </c>
      <c r="BG28" s="54">
        <f t="shared" si="0"/>
        <v>62</v>
      </c>
      <c r="BH28" s="54">
        <f t="shared" si="0"/>
        <v>63</v>
      </c>
      <c r="BI28" s="54"/>
      <c r="BJ28" s="54"/>
      <c r="BK28" s="54"/>
      <c r="BL28" s="54"/>
      <c r="BM28" s="54"/>
      <c r="BN28" s="54"/>
      <c r="BO28" s="54"/>
      <c r="BP28" s="54"/>
      <c r="BQ28" s="54"/>
      <c r="BR28" s="54"/>
      <c r="BS28" s="54"/>
      <c r="BT28" s="54"/>
      <c r="BU28" s="54"/>
      <c r="BV28" s="54"/>
      <c r="BW28" s="54"/>
      <c r="BX28" s="54"/>
      <c r="BY28" s="54"/>
      <c r="BZ28" s="54"/>
      <c r="CA28" s="54"/>
      <c r="CB28" s="54"/>
    </row>
    <row r="29" spans="1:80">
      <c r="A29" s="2" t="s">
        <v>26</v>
      </c>
      <c r="E29" s="25"/>
      <c r="F29" s="25">
        <f>1/(1+($D14/$D11))^F28</f>
        <v>0.86342738359377502</v>
      </c>
      <c r="G29" s="25">
        <f t="shared" ref="G29:BH29" si="1">1/(1+($D14/$D11))^G28</f>
        <v>0.84945386747383023</v>
      </c>
      <c r="H29" s="25">
        <f t="shared" si="1"/>
        <v>0.83570649562086685</v>
      </c>
      <c r="I29" s="25">
        <f t="shared" si="1"/>
        <v>0.82218160816652752</v>
      </c>
      <c r="J29" s="25">
        <f t="shared" si="1"/>
        <v>0.80887560447294737</v>
      </c>
      <c r="K29" s="25">
        <f t="shared" si="1"/>
        <v>0.79578494217418216</v>
      </c>
      <c r="L29" s="25">
        <f t="shared" si="1"/>
        <v>0.78290613623314675</v>
      </c>
      <c r="M29" s="25">
        <f t="shared" si="1"/>
        <v>0.77023575801381938</v>
      </c>
      <c r="N29" s="25">
        <f t="shared" si="1"/>
        <v>0.75777043436845815</v>
      </c>
      <c r="O29" s="25">
        <f t="shared" si="1"/>
        <v>0.74550684673959167</v>
      </c>
      <c r="P29" s="25">
        <f t="shared" si="1"/>
        <v>0.73344173027654258</v>
      </c>
      <c r="Q29" s="25">
        <f t="shared" si="1"/>
        <v>0.7215718729662477</v>
      </c>
      <c r="R29" s="25">
        <f t="shared" si="1"/>
        <v>0.70989411477814712</v>
      </c>
      <c r="S29" s="25">
        <f t="shared" si="1"/>
        <v>0.69840534682291022</v>
      </c>
      <c r="T29" s="25">
        <f t="shared" si="1"/>
        <v>0.68710251052477755</v>
      </c>
      <c r="U29" s="25">
        <f t="shared" si="1"/>
        <v>0.67598259680729744</v>
      </c>
      <c r="V29" s="25">
        <f t="shared" si="1"/>
        <v>0.66504264529224011</v>
      </c>
      <c r="W29" s="25">
        <f t="shared" si="1"/>
        <v>0.65427974351147611</v>
      </c>
      <c r="X29" s="25">
        <f t="shared" si="1"/>
        <v>0.643691026131611</v>
      </c>
      <c r="Y29" s="25">
        <f t="shared" si="1"/>
        <v>0.63327367419116631</v>
      </c>
      <c r="Z29" s="25">
        <f t="shared" si="1"/>
        <v>0.62302491435010698</v>
      </c>
      <c r="AA29" s="25">
        <f t="shared" si="1"/>
        <v>0.61294201815151461</v>
      </c>
      <c r="AB29" s="25">
        <f t="shared" si="1"/>
        <v>0.60302230129520829</v>
      </c>
      <c r="AC29" s="25">
        <f t="shared" si="1"/>
        <v>0.59326312292312289</v>
      </c>
      <c r="AD29" s="25">
        <f t="shared" si="1"/>
        <v>0.5836618849162506</v>
      </c>
      <c r="AE29" s="25">
        <f t="shared" si="1"/>
        <v>0.57421603120296161</v>
      </c>
      <c r="AF29" s="25">
        <f t="shared" si="1"/>
        <v>0.56492304707851992</v>
      </c>
      <c r="AG29" s="25">
        <f t="shared" si="1"/>
        <v>0.55578045853560909</v>
      </c>
      <c r="AH29" s="25">
        <f t="shared" si="1"/>
        <v>0.54678583160569538</v>
      </c>
      <c r="AI29" s="25">
        <f t="shared" si="1"/>
        <v>0.53793677171104859</v>
      </c>
      <c r="AJ29" s="25">
        <f t="shared" si="1"/>
        <v>0.52923092302725028</v>
      </c>
      <c r="AK29" s="25">
        <f t="shared" si="1"/>
        <v>0.52066596785601871</v>
      </c>
      <c r="AL29" s="25">
        <f t="shared" si="1"/>
        <v>0.51223962600818418</v>
      </c>
      <c r="AM29" s="25">
        <f t="shared" si="1"/>
        <v>0.50394965419664906</v>
      </c>
      <c r="AN29" s="25">
        <f t="shared" si="1"/>
        <v>0.4957938454391746</v>
      </c>
      <c r="AO29" s="25">
        <f t="shared" si="1"/>
        <v>0.48777002847082945</v>
      </c>
      <c r="AP29" s="25">
        <f t="shared" si="1"/>
        <v>0.47987606716594949</v>
      </c>
      <c r="AQ29" s="25">
        <f t="shared" si="1"/>
        <v>0.47210985996945204</v>
      </c>
      <c r="AR29" s="25">
        <f t="shared" si="1"/>
        <v>0.46446933933735252</v>
      </c>
      <c r="AS29" s="25">
        <f t="shared" si="1"/>
        <v>0.45695247118633725</v>
      </c>
      <c r="AT29" s="25">
        <f t="shared" si="1"/>
        <v>0.44955725435224281</v>
      </c>
      <c r="AU29" s="25">
        <f t="shared" si="1"/>
        <v>0.44228172005730015</v>
      </c>
      <c r="AV29" s="25">
        <f t="shared" si="1"/>
        <v>0.43512393138600036</v>
      </c>
      <c r="AW29" s="25">
        <f t="shared" si="1"/>
        <v>0.42808198276944304</v>
      </c>
      <c r="AX29" s="25">
        <f t="shared" si="1"/>
        <v>0.42115399947802934</v>
      </c>
      <c r="AY29" s="25">
        <f t="shared" si="1"/>
        <v>0.41433813712236645</v>
      </c>
      <c r="AZ29" s="25">
        <f t="shared" si="1"/>
        <v>0.40763258116224743</v>
      </c>
      <c r="BA29" s="25">
        <f t="shared" si="1"/>
        <v>0.40103554642357953</v>
      </c>
      <c r="BB29" s="25">
        <f t="shared" si="1"/>
        <v>0.39454527662312905</v>
      </c>
      <c r="BC29" s="25">
        <f t="shared" si="1"/>
        <v>0.3881600439009581</v>
      </c>
      <c r="BD29" s="25">
        <f t="shared" si="1"/>
        <v>0.38187814836042905</v>
      </c>
      <c r="BE29" s="25">
        <f t="shared" si="1"/>
        <v>0.37569791761565152</v>
      </c>
      <c r="BF29" s="25">
        <f t="shared" si="1"/>
        <v>0.36961770634625563</v>
      </c>
      <c r="BG29" s="25">
        <f t="shared" si="1"/>
        <v>0.36363589585936901</v>
      </c>
      <c r="BH29" s="25">
        <f t="shared" si="1"/>
        <v>0.35775089365868362</v>
      </c>
      <c r="BI29" s="25"/>
      <c r="BJ29" s="25"/>
      <c r="BK29" s="25"/>
      <c r="BL29" s="25"/>
      <c r="BM29" s="25"/>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AD32">
        <v>25</v>
      </c>
      <c r="BI32" s="23"/>
      <c r="BJ32" s="24"/>
      <c r="BK32" s="23"/>
      <c r="BL32" s="24"/>
      <c r="BM32" s="23"/>
      <c r="BN32" s="24"/>
      <c r="BO32" s="23"/>
      <c r="BP32" s="24"/>
      <c r="BQ32" s="23"/>
      <c r="BR32" s="24"/>
      <c r="BS32" s="23"/>
      <c r="BT32" s="24"/>
      <c r="BU32" s="23"/>
      <c r="BV32" s="24"/>
      <c r="BW32" s="23"/>
    </row>
    <row r="33" spans="1:75">
      <c r="A33" s="27"/>
      <c r="B33" s="26" t="s">
        <v>28</v>
      </c>
      <c r="C33" s="27"/>
      <c r="D33" s="27">
        <f>SUM(E33:CC33)</f>
        <v>-338869742.50442439</v>
      </c>
      <c r="E33" s="27"/>
      <c r="F33" s="27">
        <f t="shared" ref="F33:AD33" si="2">PMT($D$8,$D$12,$D$13)</f>
        <v>-13554789.700176978</v>
      </c>
      <c r="G33" s="27">
        <f t="shared" si="2"/>
        <v>-13554789.700176978</v>
      </c>
      <c r="H33" s="27">
        <f t="shared" si="2"/>
        <v>-13554789.700176978</v>
      </c>
      <c r="I33" s="27">
        <f t="shared" si="2"/>
        <v>-13554789.700176978</v>
      </c>
      <c r="J33" s="27">
        <f t="shared" si="2"/>
        <v>-13554789.700176978</v>
      </c>
      <c r="K33" s="27">
        <f t="shared" si="2"/>
        <v>-13554789.700176978</v>
      </c>
      <c r="L33" s="27">
        <f t="shared" si="2"/>
        <v>-13554789.700176978</v>
      </c>
      <c r="M33" s="27">
        <f t="shared" si="2"/>
        <v>-13554789.700176978</v>
      </c>
      <c r="N33" s="27">
        <f t="shared" si="2"/>
        <v>-13554789.700176978</v>
      </c>
      <c r="O33" s="27">
        <f t="shared" si="2"/>
        <v>-13554789.700176978</v>
      </c>
      <c r="P33" s="27">
        <f t="shared" si="2"/>
        <v>-13554789.700176978</v>
      </c>
      <c r="Q33" s="27">
        <f t="shared" si="2"/>
        <v>-13554789.700176978</v>
      </c>
      <c r="R33" s="27">
        <f t="shared" si="2"/>
        <v>-13554789.700176978</v>
      </c>
      <c r="S33" s="27">
        <f t="shared" si="2"/>
        <v>-13554789.700176978</v>
      </c>
      <c r="T33" s="27">
        <f t="shared" si="2"/>
        <v>-13554789.700176978</v>
      </c>
      <c r="U33" s="27">
        <f t="shared" si="2"/>
        <v>-13554789.700176978</v>
      </c>
      <c r="V33" s="27">
        <f t="shared" si="2"/>
        <v>-13554789.700176978</v>
      </c>
      <c r="W33" s="27">
        <f t="shared" si="2"/>
        <v>-13554789.700176978</v>
      </c>
      <c r="X33" s="27">
        <f t="shared" si="2"/>
        <v>-13554789.700176978</v>
      </c>
      <c r="Y33" s="27">
        <f t="shared" si="2"/>
        <v>-13554789.700176978</v>
      </c>
      <c r="Z33" s="27">
        <f t="shared" si="2"/>
        <v>-13554789.700176978</v>
      </c>
      <c r="AA33" s="27">
        <f t="shared" si="2"/>
        <v>-13554789.700176978</v>
      </c>
      <c r="AB33" s="27">
        <f t="shared" si="2"/>
        <v>-13554789.700176978</v>
      </c>
      <c r="AC33" s="27">
        <f t="shared" si="2"/>
        <v>-13554789.700176978</v>
      </c>
      <c r="AD33" s="27">
        <f t="shared" si="2"/>
        <v>-13554789.700176978</v>
      </c>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3">SUM(E34:CC34)</f>
        <v>-328100000</v>
      </c>
      <c r="E34" s="27"/>
      <c r="F34" s="27">
        <f t="shared" ref="F34:AD34" si="4">PPMT($D$8,F32,$D$12,$D$13)</f>
        <v>-12734539.700176978</v>
      </c>
      <c r="G34" s="27">
        <f t="shared" si="4"/>
        <v>-12766376.049427422</v>
      </c>
      <c r="H34" s="27">
        <f t="shared" si="4"/>
        <v>-12798291.989550989</v>
      </c>
      <c r="I34" s="27">
        <f t="shared" si="4"/>
        <v>-12830287.719524868</v>
      </c>
      <c r="J34" s="27">
        <f t="shared" si="4"/>
        <v>-12862363.438823679</v>
      </c>
      <c r="K34" s="27">
        <f t="shared" si="4"/>
        <v>-12894519.347420737</v>
      </c>
      <c r="L34" s="27">
        <f t="shared" si="4"/>
        <v>-12926755.64578929</v>
      </c>
      <c r="M34" s="27">
        <f t="shared" si="4"/>
        <v>-12959072.534903763</v>
      </c>
      <c r="N34" s="27">
        <f t="shared" si="4"/>
        <v>-12991470.216241024</v>
      </c>
      <c r="O34" s="27">
        <f t="shared" si="4"/>
        <v>-13023948.891781626</v>
      </c>
      <c r="P34" s="27">
        <f t="shared" si="4"/>
        <v>-13056508.764011078</v>
      </c>
      <c r="Q34" s="27">
        <f t="shared" si="4"/>
        <v>-13089150.035921106</v>
      </c>
      <c r="R34" s="27">
        <f t="shared" si="4"/>
        <v>-13121872.91101091</v>
      </c>
      <c r="S34" s="27">
        <f t="shared" si="4"/>
        <v>-13154677.593288437</v>
      </c>
      <c r="T34" s="27">
        <f t="shared" si="4"/>
        <v>-13187564.287271658</v>
      </c>
      <c r="U34" s="27">
        <f t="shared" si="4"/>
        <v>-13220533.197989836</v>
      </c>
      <c r="V34" s="27">
        <f t="shared" si="4"/>
        <v>-13253584.530984811</v>
      </c>
      <c r="W34" s="27">
        <f t="shared" si="4"/>
        <v>-13286718.492312275</v>
      </c>
      <c r="X34" s="27">
        <f t="shared" si="4"/>
        <v>-13319935.288543055</v>
      </c>
      <c r="Y34" s="27">
        <f t="shared" si="4"/>
        <v>-13353235.126764413</v>
      </c>
      <c r="Z34" s="27">
        <f t="shared" si="4"/>
        <v>-13386618.214581324</v>
      </c>
      <c r="AA34" s="27">
        <f t="shared" si="4"/>
        <v>-13420084.760117777</v>
      </c>
      <c r="AB34" s="27">
        <f t="shared" si="4"/>
        <v>-13453634.972018071</v>
      </c>
      <c r="AC34" s="27">
        <f t="shared" si="4"/>
        <v>-13487269.059448116</v>
      </c>
      <c r="AD34" s="27">
        <f t="shared" si="4"/>
        <v>-13520987.232096737</v>
      </c>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-10769742.504424481</v>
      </c>
      <c r="E35" s="27"/>
      <c r="F35" s="27">
        <f t="shared" ref="F35:AD35" si="5">IPMT($D$8,F32,$D$12,$D13)</f>
        <v>-820250</v>
      </c>
      <c r="G35" s="27">
        <f t="shared" si="5"/>
        <v>-788413.65074955765</v>
      </c>
      <c r="H35" s="27">
        <f t="shared" si="5"/>
        <v>-756497.71062598913</v>
      </c>
      <c r="I35" s="27">
        <f t="shared" si="5"/>
        <v>-724501.98065211147</v>
      </c>
      <c r="J35" s="27">
        <f t="shared" si="5"/>
        <v>-692426.26135329949</v>
      </c>
      <c r="K35" s="27">
        <f t="shared" si="5"/>
        <v>-660270.35275624029</v>
      </c>
      <c r="L35" s="27">
        <f t="shared" si="5"/>
        <v>-628034.0543876884</v>
      </c>
      <c r="M35" s="27">
        <f t="shared" si="5"/>
        <v>-595717.16527321504</v>
      </c>
      <c r="N35" s="27">
        <f t="shared" si="5"/>
        <v>-563319.48393595568</v>
      </c>
      <c r="O35" s="27">
        <f t="shared" si="5"/>
        <v>-530840.80839535315</v>
      </c>
      <c r="P35" s="27">
        <f t="shared" si="5"/>
        <v>-498280.93616589904</v>
      </c>
      <c r="Q35" s="27">
        <f t="shared" si="5"/>
        <v>-465639.66425587144</v>
      </c>
      <c r="R35" s="27">
        <f t="shared" si="5"/>
        <v>-432916.78916606854</v>
      </c>
      <c r="S35" s="27">
        <f t="shared" si="5"/>
        <v>-400112.10688854131</v>
      </c>
      <c r="T35" s="27">
        <f t="shared" si="5"/>
        <v>-367225.41290532018</v>
      </c>
      <c r="U35" s="27">
        <f t="shared" si="5"/>
        <v>-334256.5021871411</v>
      </c>
      <c r="V35" s="27">
        <f t="shared" si="5"/>
        <v>-301205.16919216636</v>
      </c>
      <c r="W35" s="27">
        <f t="shared" si="5"/>
        <v>-268071.20786470443</v>
      </c>
      <c r="X35" s="27">
        <f t="shared" si="5"/>
        <v>-234854.41163392377</v>
      </c>
      <c r="Y35" s="27">
        <f t="shared" si="5"/>
        <v>-201554.57341256613</v>
      </c>
      <c r="Z35" s="27">
        <f t="shared" si="5"/>
        <v>-168171.48559565507</v>
      </c>
      <c r="AA35" s="27">
        <f t="shared" si="5"/>
        <v>-134704.94005920176</v>
      </c>
      <c r="AB35" s="27">
        <f t="shared" si="5"/>
        <v>-101154.72815890731</v>
      </c>
      <c r="AC35" s="27">
        <f t="shared" si="5"/>
        <v>-67520.640728862127</v>
      </c>
      <c r="AD35" s="27">
        <f t="shared" si="5"/>
        <v>-33802.468080241852</v>
      </c>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328100000</v>
      </c>
      <c r="F36" s="34">
        <f>E36+F34</f>
        <v>315365460.29982305</v>
      </c>
      <c r="G36" s="34">
        <f t="shared" ref="G36:W36" si="6">F$36+G$34</f>
        <v>302599084.2503956</v>
      </c>
      <c r="H36" s="34">
        <f t="shared" si="6"/>
        <v>289800792.26084459</v>
      </c>
      <c r="I36" s="34">
        <f t="shared" si="6"/>
        <v>276970504.54131973</v>
      </c>
      <c r="J36" s="34">
        <f t="shared" si="6"/>
        <v>264108141.10249606</v>
      </c>
      <c r="K36" s="34">
        <f t="shared" si="6"/>
        <v>251213621.75507534</v>
      </c>
      <c r="L36" s="34">
        <f t="shared" si="6"/>
        <v>238286866.10928604</v>
      </c>
      <c r="M36" s="34">
        <f t="shared" si="6"/>
        <v>225327793.57438228</v>
      </c>
      <c r="N36" s="34">
        <f t="shared" si="6"/>
        <v>212336323.35814124</v>
      </c>
      <c r="O36" s="34">
        <f t="shared" si="6"/>
        <v>199312374.46635962</v>
      </c>
      <c r="P36" s="34">
        <f t="shared" si="6"/>
        <v>186255865.70234853</v>
      </c>
      <c r="Q36" s="34">
        <f t="shared" si="6"/>
        <v>173166715.66642743</v>
      </c>
      <c r="R36" s="34">
        <f t="shared" si="6"/>
        <v>160044842.75541651</v>
      </c>
      <c r="S36" s="34">
        <f t="shared" si="6"/>
        <v>146890165.16212809</v>
      </c>
      <c r="T36" s="34">
        <f t="shared" si="6"/>
        <v>133702600.87485643</v>
      </c>
      <c r="U36" s="34">
        <f t="shared" si="6"/>
        <v>120482067.67686659</v>
      </c>
      <c r="V36" s="34">
        <f t="shared" si="6"/>
        <v>107228483.14588177</v>
      </c>
      <c r="W36" s="34">
        <f t="shared" si="6"/>
        <v>93941764.65356949</v>
      </c>
      <c r="X36" s="34">
        <f t="shared" ref="X36" si="7">W$36+X$34</f>
        <v>80621829.365026429</v>
      </c>
      <c r="Y36" s="34">
        <f t="shared" ref="Y36" si="8">X$36+Y$34</f>
        <v>67268594.238262013</v>
      </c>
      <c r="Z36" s="34">
        <f t="shared" ref="Z36" si="9">Y$36+Z$34</f>
        <v>53881976.023680687</v>
      </c>
      <c r="AA36" s="34">
        <f t="shared" ref="AA36" si="10">Z$36+AA$34</f>
        <v>40461891.26356291</v>
      </c>
      <c r="AB36" s="34">
        <f t="shared" ref="AB36" si="11">AA$36+AB$34</f>
        <v>27008256.29154484</v>
      </c>
      <c r="AC36" s="34">
        <f t="shared" ref="AC36" si="12">AB$36+AC$34</f>
        <v>13520987.232096724</v>
      </c>
      <c r="AD36" s="34">
        <f t="shared" ref="AD36" si="13">AC$36+AD$34</f>
        <v>0</v>
      </c>
      <c r="AE36" s="34"/>
      <c r="AF36" s="34"/>
      <c r="AG36" s="34"/>
      <c r="AH36" s="34"/>
      <c r="AI36" s="34"/>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-242230172.34695789</v>
      </c>
      <c r="E37" s="34"/>
      <c r="F37" s="34">
        <f t="shared" ref="F37:AD37" si="14">F33*F29</f>
        <v>-11703576.605987659</v>
      </c>
      <c r="G37" s="34">
        <f t="shared" si="14"/>
        <v>-11514168.533609774</v>
      </c>
      <c r="H37" s="34">
        <f t="shared" si="14"/>
        <v>-11327825.799212724</v>
      </c>
      <c r="I37" s="34">
        <f t="shared" si="14"/>
        <v>-11144498.794050591</v>
      </c>
      <c r="J37" s="34">
        <f t="shared" si="14"/>
        <v>-10964138.712234335</v>
      </c>
      <c r="K37" s="34">
        <f t="shared" si="14"/>
        <v>-10786697.537738537</v>
      </c>
      <c r="L37" s="34">
        <f t="shared" si="14"/>
        <v>-10612128.031618413</v>
      </c>
      <c r="M37" s="34">
        <f t="shared" si="14"/>
        <v>-10440383.719433727</v>
      </c>
      <c r="N37" s="34">
        <f t="shared" si="14"/>
        <v>-10271418.878876211</v>
      </c>
      <c r="O37" s="34">
        <f t="shared" si="14"/>
        <v>-10105188.527597234</v>
      </c>
      <c r="P37" s="34">
        <f t="shared" si="14"/>
        <v>-9941648.4112324603</v>
      </c>
      <c r="Q37" s="34">
        <f t="shared" si="14"/>
        <v>-9780754.9916203059</v>
      </c>
      <c r="R37" s="34">
        <f t="shared" si="14"/>
        <v>-9622465.4352110829</v>
      </c>
      <c r="S37" s="34">
        <f t="shared" si="14"/>
        <v>-9466737.6016637143</v>
      </c>
      <c r="T37" s="34">
        <f t="shared" si="14"/>
        <v>-9313530.0326269995</v>
      </c>
      <c r="U37" s="34">
        <f t="shared" si="14"/>
        <v>-9162801.9407024421</v>
      </c>
      <c r="V37" s="34">
        <f t="shared" si="14"/>
        <v>-9014513.1985857077</v>
      </c>
      <c r="W37" s="34">
        <f t="shared" si="14"/>
        <v>-8868624.3283837922</v>
      </c>
      <c r="X37" s="34">
        <f t="shared" si="14"/>
        <v>-8725096.4911051113</v>
      </c>
      <c r="Y37" s="34">
        <f t="shared" si="14"/>
        <v>-8583891.4763196521</v>
      </c>
      <c r="Z37" s="34">
        <f t="shared" si="14"/>
        <v>-8444971.6919864751</v>
      </c>
      <c r="AA37" s="34">
        <f t="shared" si="14"/>
        <v>-8308300.154445841</v>
      </c>
      <c r="AB37" s="34">
        <f t="shared" si="14"/>
        <v>-8173840.4785733083</v>
      </c>
      <c r="AC37" s="34">
        <f t="shared" si="14"/>
        <v>-8041556.8680931749</v>
      </c>
      <c r="AD37" s="34">
        <f t="shared" si="14"/>
        <v>-7911414.1060486743</v>
      </c>
      <c r="AE37" s="34"/>
      <c r="AF37" s="34"/>
      <c r="AG37" s="34"/>
      <c r="AH37" s="34"/>
      <c r="AI37" s="34"/>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-234036537.69836941</v>
      </c>
      <c r="E38" s="34"/>
      <c r="F38" s="34">
        <f t="shared" ref="F38:AD38" si="15">F34*F29</f>
        <v>-10995350.294594865</v>
      </c>
      <c r="G38" s="34">
        <f t="shared" si="15"/>
        <v>-10844447.508811401</v>
      </c>
      <c r="H38" s="34">
        <f t="shared" si="15"/>
        <v>-10695615.748520268</v>
      </c>
      <c r="I38" s="34">
        <f t="shared" si="15"/>
        <v>-10548826.590478204</v>
      </c>
      <c r="J38" s="34">
        <f t="shared" si="15"/>
        <v>-10404052.001529241</v>
      </c>
      <c r="K38" s="34">
        <f t="shared" si="15"/>
        <v>-10261264.333251085</v>
      </c>
      <c r="L38" s="34">
        <f t="shared" si="15"/>
        <v>-10120436.316674909</v>
      </c>
      <c r="M38" s="34">
        <f t="shared" si="15"/>
        <v>-9981541.0570776667</v>
      </c>
      <c r="N38" s="34">
        <f t="shared" si="15"/>
        <v>-9844552.0288458485</v>
      </c>
      <c r="O38" s="34">
        <f t="shared" si="15"/>
        <v>-9709443.0704097189</v>
      </c>
      <c r="P38" s="34">
        <f t="shared" si="15"/>
        <v>-9576188.3792471271</v>
      </c>
      <c r="Q38" s="34">
        <f t="shared" si="15"/>
        <v>-9444762.5069558211</v>
      </c>
      <c r="R38" s="34">
        <f t="shared" si="15"/>
        <v>-9315140.3543934375</v>
      </c>
      <c r="S38" s="34">
        <f t="shared" si="15"/>
        <v>-9187297.1668841764</v>
      </c>
      <c r="T38" s="34">
        <f t="shared" si="15"/>
        <v>-9061208.5294912551</v>
      </c>
      <c r="U38" s="34">
        <f t="shared" si="15"/>
        <v>-8936850.3623542544</v>
      </c>
      <c r="V38" s="34">
        <f t="shared" si="15"/>
        <v>-8814198.916090453</v>
      </c>
      <c r="W38" s="34">
        <f t="shared" si="15"/>
        <v>-8693230.7672592625</v>
      </c>
      <c r="X38" s="34">
        <f t="shared" si="15"/>
        <v>-8573922.8138889354</v>
      </c>
      <c r="Y38" s="34">
        <f t="shared" si="15"/>
        <v>-8456252.2710646447</v>
      </c>
      <c r="Z38" s="34">
        <f t="shared" si="15"/>
        <v>-8340196.666577111</v>
      </c>
      <c r="AA38" s="34">
        <f t="shared" si="15"/>
        <v>-8225733.8366309749</v>
      </c>
      <c r="AB38" s="34">
        <f t="shared" si="15"/>
        <v>-8112841.9216120318</v>
      </c>
      <c r="AC38" s="34">
        <f t="shared" si="15"/>
        <v>-8001499.3619125998</v>
      </c>
      <c r="AD38" s="34">
        <f t="shared" si="15"/>
        <v>-7891684.8938141391</v>
      </c>
      <c r="AE38" s="34"/>
      <c r="AF38" s="34"/>
      <c r="AG38" s="34"/>
      <c r="AH38" s="34"/>
      <c r="AI38" s="34"/>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-8193634.6485885084</v>
      </c>
      <c r="E39" s="34"/>
      <c r="F39" s="34">
        <f t="shared" ref="F39:AD39" si="16">F35*F29</f>
        <v>-708226.31139279401</v>
      </c>
      <c r="G39" s="34">
        <f t="shared" si="16"/>
        <v>-669721.02479837346</v>
      </c>
      <c r="H39" s="34">
        <f t="shared" si="16"/>
        <v>-632210.05069245398</v>
      </c>
      <c r="I39" s="34">
        <f t="shared" si="16"/>
        <v>-595672.20357238746</v>
      </c>
      <c r="J39" s="34">
        <f t="shared" si="16"/>
        <v>-560086.71070509311</v>
      </c>
      <c r="K39" s="34">
        <f t="shared" si="16"/>
        <v>-525433.20448745159</v>
      </c>
      <c r="L39" s="34">
        <f t="shared" si="16"/>
        <v>-491691.71494350309</v>
      </c>
      <c r="M39" s="34">
        <f t="shared" si="16"/>
        <v>-458842.66235605848</v>
      </c>
      <c r="N39" s="34">
        <f t="shared" si="16"/>
        <v>-426866.85003036482</v>
      </c>
      <c r="O39" s="34">
        <f t="shared" si="16"/>
        <v>-395745.45718751551</v>
      </c>
      <c r="P39" s="34">
        <f t="shared" si="16"/>
        <v>-365460.03198533243</v>
      </c>
      <c r="Q39" s="34">
        <f t="shared" si="16"/>
        <v>-335992.48466448387</v>
      </c>
      <c r="R39" s="34">
        <f t="shared" si="16"/>
        <v>-307325.08081764396</v>
      </c>
      <c r="S39" s="34">
        <f t="shared" si="16"/>
        <v>-279440.43477953703</v>
      </c>
      <c r="T39" s="34">
        <f t="shared" si="16"/>
        <v>-252321.50313574355</v>
      </c>
      <c r="U39" s="34">
        <f t="shared" si="16"/>
        <v>-225951.57834818773</v>
      </c>
      <c r="V39" s="34">
        <f t="shared" si="16"/>
        <v>-200314.28249525506</v>
      </c>
      <c r="W39" s="34">
        <f t="shared" si="16"/>
        <v>-175393.56112453042</v>
      </c>
      <c r="X39" s="34">
        <f t="shared" si="16"/>
        <v>-151173.67721617615</v>
      </c>
      <c r="Y39" s="34">
        <f t="shared" si="16"/>
        <v>-127639.20525500891</v>
      </c>
      <c r="Z39" s="34">
        <f t="shared" si="16"/>
        <v>-104775.02540936325</v>
      </c>
      <c r="AA39" s="34">
        <f t="shared" si="16"/>
        <v>-82566.317814865935</v>
      </c>
      <c r="AB39" s="34">
        <f t="shared" si="16"/>
        <v>-60998.556961275492</v>
      </c>
      <c r="AC39" s="34">
        <f t="shared" si="16"/>
        <v>-40057.50618057495</v>
      </c>
      <c r="AD39" s="34">
        <f t="shared" si="16"/>
        <v>-19729.212234535353</v>
      </c>
      <c r="AE39" s="34"/>
      <c r="AF39" s="34"/>
      <c r="AG39" s="34"/>
      <c r="AH39" s="34"/>
      <c r="AI39" s="34"/>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BI43" s="23"/>
      <c r="BJ43" s="24"/>
      <c r="BK43" s="23"/>
      <c r="BL43" s="24"/>
      <c r="BM43" s="23"/>
      <c r="BN43" s="24"/>
      <c r="BO43" s="23"/>
      <c r="BP43" s="24"/>
      <c r="BQ43" s="23"/>
      <c r="BR43" s="24"/>
      <c r="BS43" s="23"/>
      <c r="BT43" s="24"/>
      <c r="BU43" s="23"/>
      <c r="BV43" s="24"/>
      <c r="BW43" s="23"/>
    </row>
    <row r="44" spans="1:75">
      <c r="A44" s="41"/>
      <c r="B44" s="26" t="s">
        <v>28</v>
      </c>
      <c r="C44" s="27"/>
      <c r="D44" s="27">
        <f t="shared" si="3"/>
        <v>-13554789.700176978</v>
      </c>
      <c r="E44" s="34"/>
      <c r="F44" s="34">
        <f t="shared" ref="F44" si="17">PMT($D$8,$D$12,$D$13)</f>
        <v>-13554789.700176978</v>
      </c>
      <c r="G44" s="34"/>
      <c r="H44" s="34"/>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-12734539.700176978</v>
      </c>
      <c r="E45" s="34"/>
      <c r="F45" s="34">
        <f>PPMT($D$8,F43, $D$12,$D$13)</f>
        <v>-12734539.700176978</v>
      </c>
      <c r="G45" s="34"/>
      <c r="H45" s="34"/>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-820250</v>
      </c>
      <c r="E46" s="27"/>
      <c r="F46" s="34">
        <f>IPMT($D$8, F43, $D$12,$D$13)</f>
        <v>-820250</v>
      </c>
      <c r="G46" s="34"/>
      <c r="H46" s="34"/>
      <c r="I46" s="34"/>
      <c r="J46" s="34"/>
      <c r="K46" s="34"/>
      <c r="L46" s="34"/>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328100000</v>
      </c>
      <c r="F47" s="27">
        <f t="shared" ref="F47" si="18">E47+F45</f>
        <v>315365460.29982305</v>
      </c>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-11703576.605987659</v>
      </c>
      <c r="E48" s="27"/>
      <c r="F48" s="27">
        <f>F44*F29</f>
        <v>-11703576.605987659</v>
      </c>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-10995350.294594865</v>
      </c>
      <c r="E49" s="27"/>
      <c r="F49" s="27">
        <f t="shared" ref="F49" si="19">F45*F29</f>
        <v>-10995350.294594865</v>
      </c>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-708226.31139279401</v>
      </c>
      <c r="E50" s="27"/>
      <c r="F50" s="27">
        <f t="shared" ref="F50" si="20">F46*F29</f>
        <v>-708226.31139279401</v>
      </c>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G52">
        <v>1</v>
      </c>
      <c r="H52">
        <v>2</v>
      </c>
      <c r="I52">
        <v>3</v>
      </c>
      <c r="J52">
        <v>4</v>
      </c>
      <c r="K52">
        <v>5</v>
      </c>
      <c r="L52">
        <v>6</v>
      </c>
      <c r="BI52" s="23"/>
      <c r="BJ52" s="24"/>
      <c r="BK52" s="23"/>
      <c r="BL52" s="24"/>
      <c r="BM52" s="23"/>
      <c r="BN52" s="24"/>
      <c r="BO52" s="23"/>
      <c r="BP52" s="24"/>
      <c r="BQ52" s="23"/>
      <c r="BR52" s="24"/>
      <c r="BS52" s="23"/>
      <c r="BT52" s="24"/>
      <c r="BU52" s="23"/>
      <c r="BV52" s="24"/>
      <c r="BW52" s="23"/>
    </row>
    <row r="53" spans="1:75">
      <c r="A53" s="41"/>
      <c r="B53" s="26" t="s">
        <v>28</v>
      </c>
      <c r="C53" s="27"/>
      <c r="D53" s="27">
        <f t="shared" si="3"/>
        <v>-106043549.9102672</v>
      </c>
      <c r="E53" s="34"/>
      <c r="F53" s="34"/>
      <c r="G53" s="34">
        <f>PMT($D$8,6,$D$24/3)</f>
        <v>-17673924.985044532</v>
      </c>
      <c r="H53" s="34">
        <f>PMT($D$8,6,$D$24/3)</f>
        <v>-17673924.985044532</v>
      </c>
      <c r="I53" s="34">
        <f t="shared" ref="I53:L53" si="21">PMT($D$8,6,$D$24/3)</f>
        <v>-17673924.985044532</v>
      </c>
      <c r="J53" s="34">
        <f t="shared" si="21"/>
        <v>-17673924.985044532</v>
      </c>
      <c r="K53" s="34">
        <f t="shared" si="21"/>
        <v>-17673924.985044532</v>
      </c>
      <c r="L53" s="34">
        <f t="shared" si="21"/>
        <v>-17673924.985044532</v>
      </c>
      <c r="M53" s="34"/>
      <c r="N53" s="34"/>
      <c r="O53" s="34"/>
      <c r="P53" s="34"/>
      <c r="Q53" s="34"/>
      <c r="R53" s="34"/>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-105121820.099941</v>
      </c>
      <c r="E54" s="34"/>
      <c r="F54" s="34"/>
      <c r="G54" s="34">
        <f>PPMT($D$8,G52,6,$D$24/3)</f>
        <v>-17411120.434794676</v>
      </c>
      <c r="H54" s="34">
        <f>PPMT($D$8,H52,6,$D$24/3)</f>
        <v>-17454648.235881664</v>
      </c>
      <c r="I54" s="34">
        <f t="shared" ref="I54:L54" si="22">PPMT($D$8,I52,6,$D$24/3)</f>
        <v>-17498284.856471367</v>
      </c>
      <c r="J54" s="34">
        <f t="shared" si="22"/>
        <v>-17542030.568612546</v>
      </c>
      <c r="K54" s="34">
        <f t="shared" si="22"/>
        <v>-17585885.645034079</v>
      </c>
      <c r="L54" s="34">
        <f t="shared" si="22"/>
        <v>-17629850.359146666</v>
      </c>
      <c r="M54" s="34"/>
      <c r="N54" s="34"/>
      <c r="O54" s="34"/>
      <c r="P54" s="34"/>
      <c r="Q54" s="34"/>
      <c r="R54" s="34"/>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-921729.8103261817</v>
      </c>
      <c r="E55" s="27"/>
      <c r="F55" s="27"/>
      <c r="G55" s="34">
        <f>IPMT($D$8,G52,6,$D$24/3)</f>
        <v>-262804.55024985253</v>
      </c>
      <c r="H55" s="34">
        <f t="shared" ref="H55:L55" si="23">IPMT($D$8,H52,6,$D$24/3)</f>
        <v>-219276.7491628658</v>
      </c>
      <c r="I55" s="34">
        <f t="shared" si="23"/>
        <v>-175640.12857316164</v>
      </c>
      <c r="J55" s="34">
        <f t="shared" si="23"/>
        <v>-131894.41643198323</v>
      </c>
      <c r="K55" s="34">
        <f t="shared" si="23"/>
        <v>-88039.340010451837</v>
      </c>
      <c r="L55" s="34">
        <f t="shared" si="23"/>
        <v>-44074.625897866666</v>
      </c>
      <c r="M55" s="34"/>
      <c r="N55" s="34"/>
      <c r="O55" s="34"/>
      <c r="P55" s="34"/>
      <c r="Q55" s="34"/>
      <c r="R55" s="34"/>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315365460.29982305</v>
      </c>
      <c r="F56" s="27"/>
      <c r="G56" s="27">
        <f>$E$56+G54</f>
        <v>297954339.86502838</v>
      </c>
      <c r="H56" s="27">
        <f>G56+H54</f>
        <v>280499691.6291467</v>
      </c>
      <c r="I56" s="27">
        <f t="shared" ref="I56" si="24">H56+I54</f>
        <v>263001406.77267534</v>
      </c>
      <c r="J56" s="27">
        <f t="shared" ref="J56" si="25">I56+J54</f>
        <v>245459376.20406279</v>
      </c>
      <c r="K56" s="27">
        <f t="shared" ref="K56" si="26">J56+K54</f>
        <v>227873490.55902871</v>
      </c>
      <c r="L56" s="27">
        <f t="shared" ref="L56" si="27">K56+L54</f>
        <v>210243640.19988206</v>
      </c>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-86512248.361942172</v>
      </c>
      <c r="E57" s="27"/>
      <c r="F57" s="27"/>
      <c r="G57" s="27">
        <f>G53*G$29</f>
        <v>-15013183.931988435</v>
      </c>
      <c r="H57" s="27">
        <f>H53*H$29</f>
        <v>-14770213.913117647</v>
      </c>
      <c r="I57" s="27">
        <f t="shared" ref="I57:L57" si="28">I53*I$29</f>
        <v>-14531176.066818483</v>
      </c>
      <c r="J57" s="27">
        <f t="shared" si="28"/>
        <v>-14296006.755687423</v>
      </c>
      <c r="K57" s="27">
        <f t="shared" si="28"/>
        <v>-14064643.372214496</v>
      </c>
      <c r="L57" s="27">
        <f t="shared" si="28"/>
        <v>-13837024.32211569</v>
      </c>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-85750096.081374899</v>
      </c>
      <c r="E58" s="27"/>
      <c r="F58" s="27"/>
      <c r="G58" s="27">
        <f>G54*G$29</f>
        <v>-14789943.590388974</v>
      </c>
      <c r="H58" s="27">
        <f t="shared" ref="H58:L58" si="29">H54*H$29</f>
        <v>-14586962.909503611</v>
      </c>
      <c r="I58" s="27">
        <f t="shared" si="29"/>
        <v>-14386767.983449623</v>
      </c>
      <c r="J58" s="27">
        <f t="shared" si="29"/>
        <v>-14189320.579869393</v>
      </c>
      <c r="K58" s="27">
        <f t="shared" si="29"/>
        <v>-13994582.991115224</v>
      </c>
      <c r="L58" s="27">
        <f t="shared" si="29"/>
        <v>-13802518.02704807</v>
      </c>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-762152.28056726768</v>
      </c>
      <c r="E59" s="27"/>
      <c r="F59" s="27"/>
      <c r="G59" s="27">
        <f>G55*G$29</f>
        <v>-223240.34159945778</v>
      </c>
      <c r="H59" s="27">
        <f t="shared" ref="H59:L59" si="30">H55*H$29</f>
        <v>-183251.00361403442</v>
      </c>
      <c r="I59" s="27">
        <f t="shared" si="30"/>
        <v>-144408.08336885768</v>
      </c>
      <c r="J59" s="27">
        <f t="shared" si="30"/>
        <v>-106686.17581802708</v>
      </c>
      <c r="K59" s="27">
        <f t="shared" si="30"/>
        <v>-70060.381099270584</v>
      </c>
      <c r="L59" s="27">
        <f t="shared" si="30"/>
        <v>-34506.29506762018</v>
      </c>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M61">
        <v>1</v>
      </c>
      <c r="N61">
        <v>2</v>
      </c>
      <c r="O61">
        <v>3</v>
      </c>
      <c r="P61">
        <v>4</v>
      </c>
      <c r="Q61">
        <v>5</v>
      </c>
      <c r="R61">
        <v>6</v>
      </c>
      <c r="S61">
        <v>7</v>
      </c>
      <c r="T61">
        <v>8</v>
      </c>
      <c r="U61">
        <v>9</v>
      </c>
      <c r="V61">
        <v>10</v>
      </c>
      <c r="W61">
        <v>11</v>
      </c>
      <c r="X61">
        <v>12</v>
      </c>
      <c r="Y61">
        <v>13</v>
      </c>
      <c r="Z61">
        <v>14</v>
      </c>
      <c r="AA61">
        <v>15</v>
      </c>
      <c r="AB61">
        <v>16</v>
      </c>
      <c r="AC61">
        <v>17</v>
      </c>
      <c r="AD61">
        <v>18</v>
      </c>
      <c r="AE61">
        <v>19</v>
      </c>
      <c r="AF61">
        <v>20</v>
      </c>
      <c r="AG61">
        <v>21</v>
      </c>
      <c r="AH61">
        <v>22</v>
      </c>
      <c r="AI61">
        <v>23</v>
      </c>
      <c r="AJ61">
        <v>24</v>
      </c>
      <c r="AK61">
        <v>25</v>
      </c>
      <c r="AL61">
        <v>26</v>
      </c>
      <c r="AM61">
        <v>27</v>
      </c>
      <c r="AN61">
        <v>28</v>
      </c>
      <c r="AO61">
        <v>29</v>
      </c>
      <c r="AP61">
        <v>30</v>
      </c>
      <c r="AQ61">
        <v>31</v>
      </c>
      <c r="AR61">
        <v>32</v>
      </c>
      <c r="AS61">
        <v>33</v>
      </c>
      <c r="AT61">
        <v>34</v>
      </c>
      <c r="AU61">
        <v>35</v>
      </c>
      <c r="AV61">
        <v>36</v>
      </c>
      <c r="AW61">
        <v>37</v>
      </c>
      <c r="AX61">
        <v>38</v>
      </c>
      <c r="AY61">
        <v>39</v>
      </c>
      <c r="AZ61">
        <v>40</v>
      </c>
      <c r="BA61">
        <v>41</v>
      </c>
      <c r="BB61">
        <v>42</v>
      </c>
      <c r="BC61">
        <v>43</v>
      </c>
      <c r="BD61">
        <v>44</v>
      </c>
      <c r="BE61">
        <v>45</v>
      </c>
      <c r="BF61">
        <v>46</v>
      </c>
      <c r="BG61">
        <v>47</v>
      </c>
      <c r="BH61">
        <v>48</v>
      </c>
    </row>
    <row r="62" spans="1:75">
      <c r="A62" s="41"/>
      <c r="B62" s="26" t="s">
        <v>28</v>
      </c>
      <c r="C62" s="27"/>
      <c r="D62" s="27">
        <f>SUM(E62:BU62)</f>
        <v>-337336106.02404487</v>
      </c>
      <c r="E62" s="34"/>
      <c r="F62" s="34"/>
      <c r="G62" s="34"/>
      <c r="H62" s="34"/>
      <c r="I62" s="34"/>
      <c r="J62" s="34"/>
      <c r="K62" s="34"/>
      <c r="L62" s="34"/>
      <c r="M62" s="34">
        <f>PMT($D$18,$D$22-$T$32,$E$65)</f>
        <v>-7027835.5421675965</v>
      </c>
      <c r="N62" s="34">
        <f t="shared" ref="N62:BH62" si="31">PMT($D$18,$D$22-$T$32,$E$65)</f>
        <v>-7027835.5421675965</v>
      </c>
      <c r="O62" s="34">
        <f t="shared" si="31"/>
        <v>-7027835.5421675965</v>
      </c>
      <c r="P62" s="34">
        <f t="shared" si="31"/>
        <v>-7027835.5421675965</v>
      </c>
      <c r="Q62" s="34">
        <f t="shared" si="31"/>
        <v>-7027835.5421675965</v>
      </c>
      <c r="R62" s="34">
        <f t="shared" si="31"/>
        <v>-7027835.5421675965</v>
      </c>
      <c r="S62" s="34">
        <f t="shared" si="31"/>
        <v>-7027835.5421675965</v>
      </c>
      <c r="T62" s="34">
        <f t="shared" si="31"/>
        <v>-7027835.5421675965</v>
      </c>
      <c r="U62" s="34">
        <f t="shared" si="31"/>
        <v>-7027835.5421675965</v>
      </c>
      <c r="V62" s="34">
        <f t="shared" si="31"/>
        <v>-7027835.5421675965</v>
      </c>
      <c r="W62" s="34">
        <f t="shared" si="31"/>
        <v>-7027835.5421675965</v>
      </c>
      <c r="X62" s="34">
        <f t="shared" si="31"/>
        <v>-7027835.5421675965</v>
      </c>
      <c r="Y62" s="34">
        <f t="shared" si="31"/>
        <v>-7027835.5421675965</v>
      </c>
      <c r="Z62" s="34">
        <f t="shared" si="31"/>
        <v>-7027835.5421675965</v>
      </c>
      <c r="AA62" s="34">
        <f t="shared" si="31"/>
        <v>-7027835.5421675965</v>
      </c>
      <c r="AB62" s="34">
        <f t="shared" si="31"/>
        <v>-7027835.5421675965</v>
      </c>
      <c r="AC62" s="34">
        <f t="shared" si="31"/>
        <v>-7027835.5421675965</v>
      </c>
      <c r="AD62" s="34">
        <f t="shared" si="31"/>
        <v>-7027835.5421675965</v>
      </c>
      <c r="AE62" s="34">
        <f t="shared" si="31"/>
        <v>-7027835.5421675965</v>
      </c>
      <c r="AF62" s="34">
        <f t="shared" si="31"/>
        <v>-7027835.5421675965</v>
      </c>
      <c r="AG62" s="34">
        <f t="shared" si="31"/>
        <v>-7027835.5421675965</v>
      </c>
      <c r="AH62" s="34">
        <f t="shared" si="31"/>
        <v>-7027835.5421675965</v>
      </c>
      <c r="AI62" s="34">
        <f t="shared" si="31"/>
        <v>-7027835.5421675965</v>
      </c>
      <c r="AJ62" s="34">
        <f t="shared" si="31"/>
        <v>-7027835.5421675965</v>
      </c>
      <c r="AK62" s="34">
        <f t="shared" si="31"/>
        <v>-7027835.5421675965</v>
      </c>
      <c r="AL62" s="34">
        <f t="shared" si="31"/>
        <v>-7027835.5421675965</v>
      </c>
      <c r="AM62" s="34">
        <f t="shared" si="31"/>
        <v>-7027835.5421675965</v>
      </c>
      <c r="AN62" s="34">
        <f t="shared" si="31"/>
        <v>-7027835.5421675965</v>
      </c>
      <c r="AO62" s="34">
        <f t="shared" si="31"/>
        <v>-7027835.5421675965</v>
      </c>
      <c r="AP62" s="34">
        <f t="shared" si="31"/>
        <v>-7027835.5421675965</v>
      </c>
      <c r="AQ62" s="34">
        <f t="shared" si="31"/>
        <v>-7027835.5421675965</v>
      </c>
      <c r="AR62" s="34">
        <f t="shared" si="31"/>
        <v>-7027835.5421675965</v>
      </c>
      <c r="AS62" s="34">
        <f t="shared" si="31"/>
        <v>-7027835.5421675965</v>
      </c>
      <c r="AT62" s="34">
        <f t="shared" si="31"/>
        <v>-7027835.5421675965</v>
      </c>
      <c r="AU62" s="34">
        <f t="shared" si="31"/>
        <v>-7027835.5421675965</v>
      </c>
      <c r="AV62" s="34">
        <f t="shared" si="31"/>
        <v>-7027835.5421675965</v>
      </c>
      <c r="AW62" s="34">
        <f t="shared" si="31"/>
        <v>-7027835.5421675965</v>
      </c>
      <c r="AX62" s="34">
        <f t="shared" si="31"/>
        <v>-7027835.5421675965</v>
      </c>
      <c r="AY62" s="34">
        <f t="shared" si="31"/>
        <v>-7027835.5421675965</v>
      </c>
      <c r="AZ62" s="34">
        <f t="shared" si="31"/>
        <v>-7027835.5421675965</v>
      </c>
      <c r="BA62" s="34">
        <f t="shared" si="31"/>
        <v>-7027835.5421675965</v>
      </c>
      <c r="BB62" s="34">
        <f t="shared" si="31"/>
        <v>-7027835.5421675965</v>
      </c>
      <c r="BC62" s="34">
        <f t="shared" si="31"/>
        <v>-7027835.5421675965</v>
      </c>
      <c r="BD62" s="34">
        <f t="shared" si="31"/>
        <v>-7027835.5421675965</v>
      </c>
      <c r="BE62" s="34">
        <f t="shared" si="31"/>
        <v>-7027835.5421675965</v>
      </c>
      <c r="BF62" s="34">
        <f t="shared" si="31"/>
        <v>-7027835.5421675965</v>
      </c>
      <c r="BG62" s="34">
        <f t="shared" si="31"/>
        <v>-7027835.5421675965</v>
      </c>
      <c r="BH62" s="34">
        <f t="shared" si="31"/>
        <v>-7027835.5421675965</v>
      </c>
      <c r="BI62" s="34"/>
      <c r="BJ62" s="34"/>
      <c r="BK62" s="34"/>
      <c r="BL62" s="34"/>
      <c r="BM62" s="34"/>
      <c r="BN62" s="34"/>
      <c r="BO62" s="34"/>
    </row>
    <row r="63" spans="1:75">
      <c r="A63" s="41"/>
      <c r="B63" s="27"/>
      <c r="C63" s="27" t="s">
        <v>29</v>
      </c>
      <c r="D63" s="27">
        <f>SUM(E63:BU63)</f>
        <v>-210243640.19988203</v>
      </c>
      <c r="E63" s="34"/>
      <c r="F63" s="34"/>
      <c r="G63" s="34"/>
      <c r="H63" s="34"/>
      <c r="I63" s="34"/>
      <c r="J63" s="34"/>
      <c r="K63" s="34"/>
      <c r="L63" s="34"/>
      <c r="M63" s="34">
        <f>PPMT($D$18, M61, $D$23,$E$65)</f>
        <v>-3022252.2454919009</v>
      </c>
      <c r="N63" s="34">
        <f t="shared" ref="N63:BH63" si="32">PPMT($D$18, N61, $D$23,$E$65)</f>
        <v>-3067586.0291742794</v>
      </c>
      <c r="O63" s="34">
        <f t="shared" si="32"/>
        <v>-3113599.819611894</v>
      </c>
      <c r="P63" s="34">
        <f t="shared" si="32"/>
        <v>-3160303.8169060717</v>
      </c>
      <c r="Q63" s="34">
        <f t="shared" si="32"/>
        <v>-3207708.374159663</v>
      </c>
      <c r="R63" s="34">
        <f t="shared" si="32"/>
        <v>-3255823.9997720579</v>
      </c>
      <c r="S63" s="34">
        <f t="shared" si="32"/>
        <v>-3304661.3597686384</v>
      </c>
      <c r="T63" s="34">
        <f t="shared" si="32"/>
        <v>-3354231.280165168</v>
      </c>
      <c r="U63" s="34">
        <f t="shared" si="32"/>
        <v>-3404544.7493676464</v>
      </c>
      <c r="V63" s="34">
        <f t="shared" si="32"/>
        <v>-3455612.9206081606</v>
      </c>
      <c r="W63" s="34">
        <f t="shared" si="32"/>
        <v>-3507447.1144172833</v>
      </c>
      <c r="X63" s="34">
        <f t="shared" si="32"/>
        <v>-3560058.8211335419</v>
      </c>
      <c r="Y63" s="34">
        <f t="shared" si="32"/>
        <v>-3613459.7034505457</v>
      </c>
      <c r="Z63" s="34">
        <f t="shared" si="32"/>
        <v>-3667661.5990023036</v>
      </c>
      <c r="AA63" s="34">
        <f t="shared" si="32"/>
        <v>-3722676.5229873378</v>
      </c>
      <c r="AB63" s="34">
        <f t="shared" si="32"/>
        <v>-3778516.6708321483</v>
      </c>
      <c r="AC63" s="34">
        <f t="shared" si="32"/>
        <v>-3835194.4208946303</v>
      </c>
      <c r="AD63" s="34">
        <f t="shared" si="32"/>
        <v>-3892722.3372080498</v>
      </c>
      <c r="AE63" s="34">
        <f t="shared" si="32"/>
        <v>-3951113.1722661704</v>
      </c>
      <c r="AF63" s="34">
        <f t="shared" si="32"/>
        <v>-4010379.8698501638</v>
      </c>
      <c r="AG63" s="34">
        <f t="shared" si="32"/>
        <v>-4070535.5678979149</v>
      </c>
      <c r="AH63" s="34">
        <f t="shared" si="32"/>
        <v>-4131593.6014163848</v>
      </c>
      <c r="AI63" s="34">
        <f t="shared" si="32"/>
        <v>-4193567.5054376307</v>
      </c>
      <c r="AJ63" s="34">
        <f t="shared" si="32"/>
        <v>-4256471.0180191938</v>
      </c>
      <c r="AK63" s="34">
        <f t="shared" si="32"/>
        <v>-4320318.0832894817</v>
      </c>
      <c r="AL63" s="34">
        <f t="shared" si="32"/>
        <v>-4385122.8545388244</v>
      </c>
      <c r="AM63" s="34">
        <f t="shared" si="32"/>
        <v>-4450899.6973569077</v>
      </c>
      <c r="AN63" s="34">
        <f t="shared" si="32"/>
        <v>-4517663.1928172605</v>
      </c>
      <c r="AO63" s="34">
        <f t="shared" si="32"/>
        <v>-4585428.1407095194</v>
      </c>
      <c r="AP63" s="34">
        <f t="shared" si="32"/>
        <v>-4654209.5628201626</v>
      </c>
      <c r="AQ63" s="34">
        <f t="shared" si="32"/>
        <v>-4724022.7062624656</v>
      </c>
      <c r="AR63" s="34">
        <f t="shared" si="32"/>
        <v>-4794883.0468564015</v>
      </c>
      <c r="AS63" s="34">
        <f t="shared" si="32"/>
        <v>-4866806.2925592475</v>
      </c>
      <c r="AT63" s="34">
        <f t="shared" si="32"/>
        <v>-4939808.3869476365</v>
      </c>
      <c r="AU63" s="34">
        <f t="shared" si="32"/>
        <v>-5013905.5127518512</v>
      </c>
      <c r="AV63" s="34">
        <f t="shared" si="32"/>
        <v>-5089114.0954431295</v>
      </c>
      <c r="AW63" s="34">
        <f t="shared" si="32"/>
        <v>-5165450.8068747753</v>
      </c>
      <c r="AX63" s="34">
        <f t="shared" si="32"/>
        <v>-5242932.568977898</v>
      </c>
      <c r="AY63" s="34">
        <f t="shared" si="32"/>
        <v>-5321576.5575125655</v>
      </c>
      <c r="AZ63" s="34">
        <f t="shared" si="32"/>
        <v>-5401400.2058752542</v>
      </c>
      <c r="BA63" s="34">
        <f t="shared" si="32"/>
        <v>-5482421.208963383</v>
      </c>
      <c r="BB63" s="34">
        <f t="shared" si="32"/>
        <v>-5564657.5270978343</v>
      </c>
      <c r="BC63" s="34">
        <f t="shared" si="32"/>
        <v>-5648127.3900043014</v>
      </c>
      <c r="BD63" s="34">
        <f t="shared" si="32"/>
        <v>-5732849.3008543663</v>
      </c>
      <c r="BE63" s="34">
        <f t="shared" si="32"/>
        <v>-5818842.0403671814</v>
      </c>
      <c r="BF63" s="34">
        <f t="shared" si="32"/>
        <v>-5906124.67097269</v>
      </c>
      <c r="BG63" s="34">
        <f t="shared" si="32"/>
        <v>-5994716.5410372792</v>
      </c>
      <c r="BH63" s="34">
        <f t="shared" si="32"/>
        <v>-6084637.2891528383</v>
      </c>
      <c r="BI63" s="34"/>
      <c r="BJ63" s="34"/>
      <c r="BK63" s="34"/>
      <c r="BL63" s="34"/>
      <c r="BM63" s="34"/>
      <c r="BN63" s="34"/>
      <c r="BO63" s="34"/>
    </row>
    <row r="64" spans="1:75">
      <c r="A64" s="41"/>
      <c r="B64" s="27"/>
      <c r="C64" s="27" t="s">
        <v>30</v>
      </c>
      <c r="D64" s="27">
        <f>SUM(E64:BU64)</f>
        <v>-86199888.527644277</v>
      </c>
      <c r="E64" s="27"/>
      <c r="F64" s="27"/>
      <c r="G64" s="27"/>
      <c r="H64" s="27"/>
      <c r="I64" s="27"/>
      <c r="J64" s="27"/>
      <c r="K64" s="27"/>
      <c r="L64" s="27"/>
      <c r="M64" s="34">
        <f t="shared" ref="M64:BH64" si="33">IPMT($D$18, M61, $D$23,$E$65)</f>
        <v>-3153654.6029982301</v>
      </c>
      <c r="N64" s="34">
        <f t="shared" si="33"/>
        <v>-3108320.8193158517</v>
      </c>
      <c r="O64" s="34">
        <f t="shared" si="33"/>
        <v>-3062307.0288782376</v>
      </c>
      <c r="P64" s="34">
        <f t="shared" si="33"/>
        <v>-3015603.0315840594</v>
      </c>
      <c r="Q64" s="34">
        <f t="shared" si="33"/>
        <v>-2968198.4743304686</v>
      </c>
      <c r="R64" s="34">
        <f t="shared" si="33"/>
        <v>-2920082.8487180728</v>
      </c>
      <c r="S64" s="34">
        <f t="shared" si="33"/>
        <v>-2871245.4887214922</v>
      </c>
      <c r="T64" s="34">
        <f t="shared" si="33"/>
        <v>-2821675.5683249626</v>
      </c>
      <c r="U64" s="34">
        <f t="shared" si="33"/>
        <v>-2771362.0991224851</v>
      </c>
      <c r="V64" s="34">
        <f t="shared" si="33"/>
        <v>-2720293.9278819705</v>
      </c>
      <c r="W64" s="34">
        <f t="shared" si="33"/>
        <v>-2668459.7340728482</v>
      </c>
      <c r="X64" s="34">
        <f t="shared" si="33"/>
        <v>-2615848.0273565887</v>
      </c>
      <c r="Y64" s="34">
        <f t="shared" si="33"/>
        <v>-2562447.1450395854</v>
      </c>
      <c r="Z64" s="34">
        <f t="shared" si="33"/>
        <v>-2508245.2494878275</v>
      </c>
      <c r="AA64" s="34">
        <f t="shared" si="33"/>
        <v>-2453230.3255027938</v>
      </c>
      <c r="AB64" s="34">
        <f t="shared" si="33"/>
        <v>-2397390.1776579833</v>
      </c>
      <c r="AC64" s="34">
        <f t="shared" si="33"/>
        <v>-2340712.4275955008</v>
      </c>
      <c r="AD64" s="34">
        <f t="shared" si="33"/>
        <v>-2283184.5112820813</v>
      </c>
      <c r="AE64" s="34">
        <f t="shared" si="33"/>
        <v>-2224793.6762239602</v>
      </c>
      <c r="AF64" s="34">
        <f t="shared" si="33"/>
        <v>-2165526.9786399677</v>
      </c>
      <c r="AG64" s="34">
        <f t="shared" si="33"/>
        <v>-2105371.2805922157</v>
      </c>
      <c r="AH64" s="34">
        <f t="shared" si="33"/>
        <v>-2044313.247073747</v>
      </c>
      <c r="AI64" s="34">
        <f t="shared" si="33"/>
        <v>-1982339.3430525011</v>
      </c>
      <c r="AJ64" s="34">
        <f t="shared" si="33"/>
        <v>-1919435.8304709364</v>
      </c>
      <c r="AK64" s="34">
        <f t="shared" si="33"/>
        <v>-1855588.7652006487</v>
      </c>
      <c r="AL64" s="34">
        <f t="shared" si="33"/>
        <v>-1790783.9939513067</v>
      </c>
      <c r="AM64" s="34">
        <f t="shared" si="33"/>
        <v>-1725007.1511332241</v>
      </c>
      <c r="AN64" s="34">
        <f t="shared" si="33"/>
        <v>-1658243.6556728703</v>
      </c>
      <c r="AO64" s="34">
        <f t="shared" si="33"/>
        <v>-1590478.7077806115</v>
      </c>
      <c r="AP64" s="34">
        <f t="shared" si="33"/>
        <v>-1521697.2856699689</v>
      </c>
      <c r="AQ64" s="34">
        <f t="shared" si="33"/>
        <v>-1451884.1422276665</v>
      </c>
      <c r="AR64" s="34">
        <f t="shared" si="33"/>
        <v>-1381023.8016337296</v>
      </c>
      <c r="AS64" s="34">
        <f t="shared" si="33"/>
        <v>-1309100.5559308836</v>
      </c>
      <c r="AT64" s="34">
        <f t="shared" si="33"/>
        <v>-1236098.4615424948</v>
      </c>
      <c r="AU64" s="34">
        <f t="shared" si="33"/>
        <v>-1162001.3357382803</v>
      </c>
      <c r="AV64" s="34">
        <f t="shared" si="33"/>
        <v>-1086792.7530470022</v>
      </c>
      <c r="AW64" s="34">
        <f t="shared" si="33"/>
        <v>-1010456.0416153554</v>
      </c>
      <c r="AX64" s="34">
        <f t="shared" si="33"/>
        <v>-932974.2795122338</v>
      </c>
      <c r="AY64" s="34">
        <f t="shared" si="33"/>
        <v>-854330.29097756522</v>
      </c>
      <c r="AZ64" s="34">
        <f t="shared" si="33"/>
        <v>-774506.64261487697</v>
      </c>
      <c r="BA64" s="34">
        <f t="shared" si="33"/>
        <v>-693485.63952674798</v>
      </c>
      <c r="BB64" s="34">
        <f t="shared" si="33"/>
        <v>-611249.32139229728</v>
      </c>
      <c r="BC64" s="34">
        <f t="shared" si="33"/>
        <v>-527779.45848582976</v>
      </c>
      <c r="BD64" s="34">
        <f t="shared" si="33"/>
        <v>-443057.54763576522</v>
      </c>
      <c r="BE64" s="34">
        <f t="shared" si="33"/>
        <v>-357064.80812294979</v>
      </c>
      <c r="BF64" s="34">
        <f t="shared" si="33"/>
        <v>-269782.17751744209</v>
      </c>
      <c r="BG64" s="34">
        <f t="shared" si="33"/>
        <v>-181190.30745285176</v>
      </c>
      <c r="BH64" s="34">
        <f t="shared" si="33"/>
        <v>-91269.559337292565</v>
      </c>
      <c r="BI64" s="34"/>
      <c r="BJ64" s="34"/>
      <c r="BK64" s="34"/>
      <c r="BL64" s="34"/>
      <c r="BM64" s="34"/>
      <c r="BN64" s="34"/>
      <c r="BO64" s="34"/>
    </row>
    <row r="65" spans="1:67">
      <c r="A65" s="41"/>
      <c r="B65" s="33" t="s">
        <v>31</v>
      </c>
      <c r="C65" s="42"/>
      <c r="D65" s="27"/>
      <c r="E65" s="27">
        <f>D24-D24/3</f>
        <v>210243640.19988203</v>
      </c>
      <c r="F65" s="27"/>
      <c r="G65" s="27"/>
      <c r="H65" s="27"/>
      <c r="I65" s="27"/>
      <c r="J65" s="27"/>
      <c r="K65" s="27"/>
      <c r="L65" s="27"/>
      <c r="M65" s="27">
        <f>E65+M63</f>
        <v>207221387.95439014</v>
      </c>
      <c r="N65" s="27">
        <f>M65+N63</f>
        <v>204153801.92521587</v>
      </c>
      <c r="O65" s="27">
        <f t="shared" ref="O65" si="34">N65+O63</f>
        <v>201040202.10560396</v>
      </c>
      <c r="P65" s="27">
        <f t="shared" ref="P65" si="35">O65+P63</f>
        <v>197879898.2886979</v>
      </c>
      <c r="Q65" s="27">
        <f t="shared" ref="Q65" si="36">P65+Q63</f>
        <v>194672189.91453823</v>
      </c>
      <c r="R65" s="27">
        <f t="shared" ref="R65" si="37">Q65+R63</f>
        <v>191416365.91476616</v>
      </c>
      <c r="S65" s="27">
        <f t="shared" ref="S65" si="38">R65+S63</f>
        <v>188111704.55499753</v>
      </c>
      <c r="T65" s="27">
        <f t="shared" ref="T65" si="39">S65+T63</f>
        <v>184757473.27483237</v>
      </c>
      <c r="U65" s="27">
        <f t="shared" ref="U65" si="40">T65+U63</f>
        <v>181352928.52546471</v>
      </c>
      <c r="V65" s="27">
        <f t="shared" ref="V65" si="41">U65+V63</f>
        <v>177897315.60485655</v>
      </c>
      <c r="W65" s="27">
        <f t="shared" ref="W65" si="42">V65+W63</f>
        <v>174389868.49043927</v>
      </c>
      <c r="X65" s="27">
        <f t="shared" ref="X65" si="43">W65+X63</f>
        <v>170829809.66930571</v>
      </c>
      <c r="Y65" s="27">
        <f t="shared" ref="Y65" si="44">X65+Y63</f>
        <v>167216349.96585518</v>
      </c>
      <c r="Z65" s="27">
        <f t="shared" ref="Z65" si="45">Y65+Z63</f>
        <v>163548688.36685288</v>
      </c>
      <c r="AA65" s="27">
        <f t="shared" ref="AA65" si="46">Z65+AA63</f>
        <v>159826011.84386554</v>
      </c>
      <c r="AB65" s="27">
        <f t="shared" ref="AB65" si="47">AA65+AB63</f>
        <v>156047495.17303339</v>
      </c>
      <c r="AC65" s="27">
        <f t="shared" ref="AC65" si="48">AB65+AC63</f>
        <v>152212300.75213876</v>
      </c>
      <c r="AD65" s="27">
        <f t="shared" ref="AD65" si="49">AC65+AD63</f>
        <v>148319578.4149307</v>
      </c>
      <c r="AE65" s="27">
        <f t="shared" ref="AE65" si="50">AD65+AE63</f>
        <v>144368465.24266452</v>
      </c>
      <c r="AF65" s="27">
        <f t="shared" ref="AF65" si="51">AE65+AF63</f>
        <v>140358085.37281436</v>
      </c>
      <c r="AG65" s="27">
        <f t="shared" ref="AG65" si="52">AF65+AG63</f>
        <v>136287549.80491644</v>
      </c>
      <c r="AH65" s="27">
        <f t="shared" ref="AH65" si="53">AG65+AH63</f>
        <v>132155956.20350006</v>
      </c>
      <c r="AI65" s="27">
        <f t="shared" ref="AI65" si="54">AH65+AI63</f>
        <v>127962388.69806243</v>
      </c>
      <c r="AJ65" s="27">
        <f t="shared" ref="AJ65" si="55">AI65+AJ63</f>
        <v>123705917.68004324</v>
      </c>
      <c r="AK65" s="27">
        <f t="shared" ref="AK65" si="56">AJ65+AK63</f>
        <v>119385599.59675375</v>
      </c>
      <c r="AL65" s="27">
        <f t="shared" ref="AL65" si="57">AK65+AL63</f>
        <v>115000476.74221492</v>
      </c>
      <c r="AM65" s="27">
        <f t="shared" ref="AM65" si="58">AL65+AM63</f>
        <v>110549577.04485801</v>
      </c>
      <c r="AN65" s="27">
        <f t="shared" ref="AN65" si="59">AM65+AN63</f>
        <v>106031913.85204075</v>
      </c>
      <c r="AO65" s="27">
        <f t="shared" ref="AO65" si="60">AN65+AO63</f>
        <v>101446485.71133123</v>
      </c>
      <c r="AP65" s="27">
        <f t="shared" ref="AP65" si="61">AO65+AP63</f>
        <v>96792276.148511067</v>
      </c>
      <c r="AQ65" s="27">
        <f t="shared" ref="AQ65" si="62">AP65+AQ63</f>
        <v>92068253.442248598</v>
      </c>
      <c r="AR65" s="27">
        <f t="shared" ref="AR65" si="63">AQ65+AR63</f>
        <v>87273370.395392194</v>
      </c>
      <c r="AS65" s="27">
        <f t="shared" ref="AS65" si="64">AR65+AS63</f>
        <v>82406564.102832943</v>
      </c>
      <c r="AT65" s="27">
        <f t="shared" ref="AT65" si="65">AS65+AT63</f>
        <v>77466755.715885311</v>
      </c>
      <c r="AU65" s="27">
        <f t="shared" ref="AU65" si="66">AT65+AU63</f>
        <v>72452850.203133464</v>
      </c>
      <c r="AV65" s="27">
        <f t="shared" ref="AV65" si="67">AU65+AV63</f>
        <v>67363736.107690334</v>
      </c>
      <c r="AW65" s="27">
        <f t="shared" ref="AW65" si="68">AV65+AW63</f>
        <v>62198285.30081556</v>
      </c>
      <c r="AX65" s="27">
        <f t="shared" ref="AX65" si="69">AW65+AX63</f>
        <v>56955352.73183766</v>
      </c>
      <c r="AY65" s="27">
        <f t="shared" ref="AY65" si="70">AX65+AY63</f>
        <v>51633776.174325094</v>
      </c>
      <c r="AZ65" s="27">
        <f t="shared" ref="AZ65" si="71">AY65+AZ63</f>
        <v>46232375.968449838</v>
      </c>
      <c r="BA65" s="27">
        <f t="shared" ref="BA65" si="72">AZ65+BA63</f>
        <v>40749954.759486452</v>
      </c>
      <c r="BB65" s="27">
        <f t="shared" ref="BB65" si="73">BA65+BB63</f>
        <v>35185297.232388616</v>
      </c>
      <c r="BC65" s="27">
        <f t="shared" ref="BC65" si="74">BB65+BC63</f>
        <v>29537169.842384316</v>
      </c>
      <c r="BD65" s="27">
        <f t="shared" ref="BD65" si="75">BC65+BD63</f>
        <v>23804320.54152995</v>
      </c>
      <c r="BE65" s="27">
        <f t="shared" ref="BE65" si="76">BD65+BE63</f>
        <v>17985478.501162767</v>
      </c>
      <c r="BF65" s="27">
        <f t="shared" ref="BF65" si="77">BE65+BF63</f>
        <v>12079353.830190077</v>
      </c>
      <c r="BG65" s="27">
        <f t="shared" ref="BG65" si="78">BF65+BG63</f>
        <v>6084637.2891527982</v>
      </c>
      <c r="BH65" s="27">
        <f t="shared" ref="BH65" si="79">BG65+BH63</f>
        <v>-4.0046870708465576E-8</v>
      </c>
      <c r="BI65" s="27"/>
      <c r="BJ65" s="27"/>
      <c r="BK65" s="27"/>
      <c r="BL65" s="27"/>
      <c r="BM65" s="27"/>
      <c r="BN65" s="27"/>
      <c r="BO65" s="27"/>
    </row>
    <row r="66" spans="1:67" ht="21">
      <c r="A66" s="43"/>
      <c r="B66" s="26" t="s">
        <v>32</v>
      </c>
      <c r="C66" s="27"/>
      <c r="D66" s="27">
        <f>SUM(E66:BU66)</f>
        <v>-181636542.53517812</v>
      </c>
      <c r="E66" s="27"/>
      <c r="F66" s="27"/>
      <c r="G66" s="27"/>
      <c r="H66" s="27"/>
      <c r="I66" s="27"/>
      <c r="J66" s="27"/>
      <c r="K66" s="27"/>
      <c r="L66" s="27"/>
      <c r="M66" s="27">
        <f>M62*M29</f>
        <v>-5413090.2360179201</v>
      </c>
      <c r="N66" s="27">
        <f t="shared" ref="N66:BH66" si="80">N62*N29</f>
        <v>-5325485.9914584281</v>
      </c>
      <c r="O66" s="27">
        <f t="shared" si="80"/>
        <v>-5239299.5144457938</v>
      </c>
      <c r="P66" s="27">
        <f t="shared" si="80"/>
        <v>-5154507.8601463856</v>
      </c>
      <c r="Q66" s="27">
        <f t="shared" si="80"/>
        <v>-5071088.4550606376</v>
      </c>
      <c r="R66" s="27">
        <f t="shared" si="80"/>
        <v>-4989019.091013466</v>
      </c>
      <c r="S66" s="27">
        <f t="shared" si="80"/>
        <v>-4908277.9192419359</v>
      </c>
      <c r="T66" s="27">
        <f t="shared" si="80"/>
        <v>-4828843.4445786169</v>
      </c>
      <c r="U66" s="27">
        <f t="shared" si="80"/>
        <v>-4750694.5197290732</v>
      </c>
      <c r="V66" s="27">
        <f t="shared" si="80"/>
        <v>-4673810.3396419631</v>
      </c>
      <c r="W66" s="27">
        <f t="shared" si="80"/>
        <v>-4598170.4359702505</v>
      </c>
      <c r="X66" s="27">
        <f t="shared" si="80"/>
        <v>-4523754.6716220668</v>
      </c>
      <c r="Y66" s="27">
        <f t="shared" si="80"/>
        <v>-4450543.2353997407</v>
      </c>
      <c r="Z66" s="27">
        <f t="shared" si="80"/>
        <v>-4378516.6367256045</v>
      </c>
      <c r="AA66" s="27">
        <f t="shared" si="80"/>
        <v>-4307655.7004531501</v>
      </c>
      <c r="AB66" s="27">
        <f t="shared" si="80"/>
        <v>-4237941.5617621616</v>
      </c>
      <c r="AC66" s="27">
        <f t="shared" si="80"/>
        <v>-4169355.661136467</v>
      </c>
      <c r="AD66" s="27">
        <f t="shared" si="80"/>
        <v>-4101879.7394229593</v>
      </c>
      <c r="AE66" s="27">
        <f t="shared" si="80"/>
        <v>-4035495.8329705913</v>
      </c>
      <c r="AF66" s="27">
        <f t="shared" si="80"/>
        <v>-3970186.2688480406</v>
      </c>
      <c r="AG66" s="27">
        <f t="shared" si="80"/>
        <v>-3905933.6601387579</v>
      </c>
      <c r="AH66" s="27">
        <f t="shared" si="80"/>
        <v>-3842720.9013121724</v>
      </c>
      <c r="AI66" s="27">
        <f t="shared" si="80"/>
        <v>-3780531.1636698036</v>
      </c>
      <c r="AJ66" s="27">
        <f t="shared" si="80"/>
        <v>-3719347.8908650731</v>
      </c>
      <c r="AK66" s="27">
        <f t="shared" si="80"/>
        <v>-3659154.7944956198</v>
      </c>
      <c r="AL66" s="27">
        <f t="shared" si="80"/>
        <v>-3599935.8497669538</v>
      </c>
      <c r="AM66" s="27">
        <f t="shared" si="80"/>
        <v>-3541675.2912262799</v>
      </c>
      <c r="AN66" s="27">
        <f t="shared" si="80"/>
        <v>-3484357.6085653789</v>
      </c>
      <c r="AO66" s="27">
        <f t="shared" si="80"/>
        <v>-3427967.5424913955</v>
      </c>
      <c r="AP66" s="27">
        <f t="shared" si="80"/>
        <v>-3372490.0806644647</v>
      </c>
      <c r="AQ66" s="27">
        <f t="shared" si="80"/>
        <v>-3317910.4537010822</v>
      </c>
      <c r="AR66" s="27">
        <f t="shared" si="80"/>
        <v>-3264214.1312421481</v>
      </c>
      <c r="AS66" s="27">
        <f t="shared" si="80"/>
        <v>-3211386.8180846553</v>
      </c>
      <c r="AT66" s="27">
        <f t="shared" si="80"/>
        <v>-3159414.4503759705</v>
      </c>
      <c r="AU66" s="27">
        <f t="shared" si="80"/>
        <v>-3108283.1918697134</v>
      </c>
      <c r="AV66" s="27">
        <f t="shared" si="80"/>
        <v>-3057979.4302422279</v>
      </c>
      <c r="AW66" s="27">
        <f t="shared" si="80"/>
        <v>-3008489.7734686686</v>
      </c>
      <c r="AX66" s="27">
        <f t="shared" si="80"/>
        <v>-2959801.0462577278</v>
      </c>
      <c r="AY66" s="27">
        <f t="shared" si="80"/>
        <v>-2911900.286544078</v>
      </c>
      <c r="AZ66" s="27">
        <f t="shared" si="80"/>
        <v>-2864774.7420375599</v>
      </c>
      <c r="BA66" s="27">
        <f t="shared" si="80"/>
        <v>-2818411.8668282353</v>
      </c>
      <c r="BB66" s="27">
        <f t="shared" si="80"/>
        <v>-2772799.3180463724</v>
      </c>
      <c r="BC66" s="27">
        <f t="shared" si="80"/>
        <v>-2727924.9525764878</v>
      </c>
      <c r="BD66" s="27">
        <f t="shared" si="80"/>
        <v>-2683776.8238245738</v>
      </c>
      <c r="BE66" s="27">
        <f t="shared" si="80"/>
        <v>-2640343.1785376295</v>
      </c>
      <c r="BF66" s="27">
        <f t="shared" si="80"/>
        <v>-2597612.453674681</v>
      </c>
      <c r="BG66" s="27">
        <f t="shared" si="80"/>
        <v>-2555573.2733284282</v>
      </c>
      <c r="BH66" s="27">
        <f t="shared" si="80"/>
        <v>-2514214.4456967171</v>
      </c>
      <c r="BI66" s="27"/>
      <c r="BJ66" s="27"/>
      <c r="BK66" s="27"/>
      <c r="BL66" s="27"/>
      <c r="BM66" s="27"/>
      <c r="BN66" s="27"/>
      <c r="BO66" s="27"/>
    </row>
    <row r="67" spans="1:67">
      <c r="A67" s="27"/>
      <c r="B67" s="27"/>
      <c r="C67" s="27" t="s">
        <v>29</v>
      </c>
      <c r="D67" s="27">
        <f>SUM(E67:BU67)</f>
        <v>-108071471.75163873</v>
      </c>
      <c r="E67" s="27"/>
      <c r="F67" s="27"/>
      <c r="G67" s="27"/>
      <c r="H67" s="27"/>
      <c r="I67" s="27"/>
      <c r="J67" s="27"/>
      <c r="K67" s="27"/>
      <c r="L67" s="27"/>
      <c r="M67" s="27">
        <f>M63*M29</f>
        <v>-2327846.7492154222</v>
      </c>
      <c r="N67" s="27">
        <f t="shared" ref="N67:BH67" si="81">N63*N29</f>
        <v>-2324525.9977900074</v>
      </c>
      <c r="O67" s="27">
        <f t="shared" si="81"/>
        <v>-2321209.9835278243</v>
      </c>
      <c r="P67" s="27">
        <f t="shared" si="81"/>
        <v>-2317898.6996711511</v>
      </c>
      <c r="Q67" s="27">
        <f t="shared" si="81"/>
        <v>-2314592.1394719053</v>
      </c>
      <c r="R67" s="27">
        <f t="shared" si="81"/>
        <v>-2311290.2961916314</v>
      </c>
      <c r="S67" s="27">
        <f t="shared" si="81"/>
        <v>-2307993.1631014859</v>
      </c>
      <c r="T67" s="27">
        <f t="shared" si="81"/>
        <v>-2304700.7334822253</v>
      </c>
      <c r="U67" s="27">
        <f t="shared" si="81"/>
        <v>-2301413.000624191</v>
      </c>
      <c r="V67" s="27">
        <f t="shared" si="81"/>
        <v>-2298129.9578272947</v>
      </c>
      <c r="W67" s="27">
        <f t="shared" si="81"/>
        <v>-2294851.5984010072</v>
      </c>
      <c r="X67" s="27">
        <f t="shared" si="81"/>
        <v>-2291577.9156643432</v>
      </c>
      <c r="Y67" s="27">
        <f t="shared" si="81"/>
        <v>-2288308.9029458491</v>
      </c>
      <c r="Z67" s="27">
        <f t="shared" si="81"/>
        <v>-2285044.5535835866</v>
      </c>
      <c r="AA67" s="27">
        <f t="shared" si="81"/>
        <v>-2281784.8609251222</v>
      </c>
      <c r="AB67" s="27">
        <f t="shared" si="81"/>
        <v>-2278529.8183275112</v>
      </c>
      <c r="AC67" s="27">
        <f t="shared" si="81"/>
        <v>-2275279.4191572862</v>
      </c>
      <c r="AD67" s="27">
        <f t="shared" si="81"/>
        <v>-2272033.6567904428</v>
      </c>
      <c r="AE67" s="27">
        <f t="shared" si="81"/>
        <v>-2268792.524612424</v>
      </c>
      <c r="AF67" s="27">
        <f t="shared" si="81"/>
        <v>-2265556.0160181127</v>
      </c>
      <c r="AG67" s="27">
        <f t="shared" si="81"/>
        <v>-2262324.1244118093</v>
      </c>
      <c r="AH67" s="27">
        <f t="shared" si="81"/>
        <v>-2259096.843207228</v>
      </c>
      <c r="AI67" s="27">
        <f t="shared" si="81"/>
        <v>-2255874.1658274741</v>
      </c>
      <c r="AJ67" s="27">
        <f t="shared" si="81"/>
        <v>-2252656.0857050377</v>
      </c>
      <c r="AK67" s="27">
        <f t="shared" si="81"/>
        <v>-2249442.5962817776</v>
      </c>
      <c r="AL67" s="27">
        <f t="shared" si="81"/>
        <v>-2246233.6910089087</v>
      </c>
      <c r="AM67" s="27">
        <f t="shared" si="81"/>
        <v>-2243029.3633469837</v>
      </c>
      <c r="AN67" s="27">
        <f t="shared" si="81"/>
        <v>-2239829.6067658891</v>
      </c>
      <c r="AO67" s="27">
        <f t="shared" si="81"/>
        <v>-2236634.4147448246</v>
      </c>
      <c r="AP67" s="27">
        <f t="shared" si="81"/>
        <v>-2233443.780772293</v>
      </c>
      <c r="AQ67" s="27">
        <f t="shared" si="81"/>
        <v>-2230257.6983460844</v>
      </c>
      <c r="AR67" s="27">
        <f t="shared" si="81"/>
        <v>-2227076.1609732648</v>
      </c>
      <c r="AS67" s="27">
        <f t="shared" si="81"/>
        <v>-2223899.1621701643</v>
      </c>
      <c r="AT67" s="27">
        <f t="shared" si="81"/>
        <v>-2220726.695462361</v>
      </c>
      <c r="AU67" s="27">
        <f t="shared" si="81"/>
        <v>-2217558.7543846681</v>
      </c>
      <c r="AV67" s="27">
        <f t="shared" si="81"/>
        <v>-2214395.3324811235</v>
      </c>
      <c r="AW67" s="27">
        <f t="shared" si="81"/>
        <v>-2211236.4233049732</v>
      </c>
      <c r="AX67" s="27">
        <f t="shared" si="81"/>
        <v>-2208082.0204186607</v>
      </c>
      <c r="AY67" s="27">
        <f t="shared" si="81"/>
        <v>-2204932.1173938122</v>
      </c>
      <c r="AZ67" s="27">
        <f t="shared" si="81"/>
        <v>-2201786.7078112247</v>
      </c>
      <c r="BA67" s="27">
        <f t="shared" si="81"/>
        <v>-2198645.785260852</v>
      </c>
      <c r="BB67" s="27">
        <f t="shared" si="81"/>
        <v>-2195509.3433417925</v>
      </c>
      <c r="BC67" s="27">
        <f t="shared" si="81"/>
        <v>-2192377.3756622737</v>
      </c>
      <c r="BD67" s="27">
        <f t="shared" si="81"/>
        <v>-2189249.8758396455</v>
      </c>
      <c r="BE67" s="27">
        <f t="shared" si="81"/>
        <v>-2186126.8375003589</v>
      </c>
      <c r="BF67" s="27">
        <f t="shared" si="81"/>
        <v>-2183008.2542799595</v>
      </c>
      <c r="BG67" s="27">
        <f t="shared" si="81"/>
        <v>-2179894.1198230688</v>
      </c>
      <c r="BH67" s="27">
        <f t="shared" si="81"/>
        <v>-2176784.4277833779</v>
      </c>
      <c r="BI67" s="27"/>
      <c r="BJ67" s="27"/>
      <c r="BK67" s="27"/>
      <c r="BL67" s="27"/>
      <c r="BM67" s="27"/>
      <c r="BN67" s="27"/>
      <c r="BO67" s="27"/>
    </row>
    <row r="68" spans="1:67">
      <c r="A68" s="27"/>
      <c r="B68" s="27"/>
      <c r="C68" s="27" t="s">
        <v>30</v>
      </c>
      <c r="D68" s="27">
        <f>SUM(E68:BU68)</f>
        <v>-51546715.135114707</v>
      </c>
      <c r="E68" s="27"/>
      <c r="F68" s="27"/>
      <c r="G68" s="27"/>
      <c r="H68" s="27"/>
      <c r="I68" s="27"/>
      <c r="J68" s="27"/>
      <c r="K68" s="27"/>
      <c r="L68" s="27"/>
      <c r="M68" s="27">
        <f>M64*M29</f>
        <v>-2429057.5436541126</v>
      </c>
      <c r="N68" s="27">
        <f t="shared" ref="N68:BH68" si="82">N64*N29</f>
        <v>-2355393.6174094947</v>
      </c>
      <c r="O68" s="27">
        <f t="shared" si="82"/>
        <v>-2282970.8568475028</v>
      </c>
      <c r="P68" s="27">
        <f t="shared" si="82"/>
        <v>-2211769.1053121998</v>
      </c>
      <c r="Q68" s="27">
        <f t="shared" si="82"/>
        <v>-2141768.532458195</v>
      </c>
      <c r="R68" s="27">
        <f t="shared" si="82"/>
        <v>-2072949.6289695664</v>
      </c>
      <c r="S68" s="27">
        <f t="shared" si="82"/>
        <v>-2005293.2013642502</v>
      </c>
      <c r="T68" s="27">
        <f t="shared" si="82"/>
        <v>-1938780.3668825103</v>
      </c>
      <c r="U68" s="27">
        <f t="shared" si="82"/>
        <v>-1873392.5484581403</v>
      </c>
      <c r="V68" s="27">
        <f t="shared" si="82"/>
        <v>-1809111.4697710439</v>
      </c>
      <c r="W68" s="27">
        <f t="shared" si="82"/>
        <v>-1745919.150379885</v>
      </c>
      <c r="X68" s="27">
        <f t="shared" si="82"/>
        <v>-1683797.900933513</v>
      </c>
      <c r="Y68" s="27">
        <f t="shared" si="82"/>
        <v>-1622730.3184598826</v>
      </c>
      <c r="Z68" s="27">
        <f t="shared" si="82"/>
        <v>-1562699.2817312165</v>
      </c>
      <c r="AA68" s="27">
        <f t="shared" si="82"/>
        <v>-1503687.9467041795</v>
      </c>
      <c r="AB68" s="27">
        <f t="shared" si="82"/>
        <v>-1445679.7420338453</v>
      </c>
      <c r="AC68" s="27">
        <f t="shared" si="82"/>
        <v>-1388658.364660271</v>
      </c>
      <c r="AD68" s="27">
        <f t="shared" si="82"/>
        <v>-1332607.775466488</v>
      </c>
      <c r="AE68" s="27">
        <f t="shared" si="82"/>
        <v>-1277512.1950067692</v>
      </c>
      <c r="AF68" s="27">
        <f t="shared" si="82"/>
        <v>-1223356.0993040316</v>
      </c>
      <c r="AG68" s="27">
        <f t="shared" si="82"/>
        <v>-1170124.2157152442</v>
      </c>
      <c r="AH68" s="27">
        <f t="shared" si="82"/>
        <v>-1117801.5188637581</v>
      </c>
      <c r="AI68" s="27">
        <f t="shared" si="82"/>
        <v>-1066373.2266374633</v>
      </c>
      <c r="AJ68" s="27">
        <f t="shared" si="82"/>
        <v>-1015824.7962517104</v>
      </c>
      <c r="AK68" s="27">
        <f t="shared" si="82"/>
        <v>-966141.9203759504</v>
      </c>
      <c r="AL68" s="27">
        <f t="shared" si="82"/>
        <v>-917310.52332305966</v>
      </c>
      <c r="AM68" s="27">
        <f t="shared" si="82"/>
        <v>-869316.75730033498</v>
      </c>
      <c r="AN68" s="27">
        <f t="shared" si="82"/>
        <v>-822146.99872116698</v>
      </c>
      <c r="AO68" s="27">
        <f t="shared" si="82"/>
        <v>-775787.84457639686</v>
      </c>
      <c r="AP68" s="27">
        <f t="shared" si="82"/>
        <v>-730226.10886440508</v>
      </c>
      <c r="AQ68" s="27">
        <f t="shared" si="82"/>
        <v>-685448.81907897163</v>
      </c>
      <c r="AR68" s="27">
        <f t="shared" si="82"/>
        <v>-641443.21275397739</v>
      </c>
      <c r="AS68" s="27">
        <f t="shared" si="82"/>
        <v>-598196.73406402522</v>
      </c>
      <c r="AT68" s="27">
        <f t="shared" si="82"/>
        <v>-555697.03048007539</v>
      </c>
      <c r="AU68" s="27">
        <f t="shared" si="82"/>
        <v>-513931.94947920693</v>
      </c>
      <c r="AV68" s="27">
        <f t="shared" si="82"/>
        <v>-472889.53530762624</v>
      </c>
      <c r="AW68" s="27">
        <f t="shared" si="82"/>
        <v>-432558.02579606418</v>
      </c>
      <c r="AX68" s="27">
        <f t="shared" si="82"/>
        <v>-392925.8492267101</v>
      </c>
      <c r="AY68" s="27">
        <f t="shared" si="82"/>
        <v>-353981.62125085364</v>
      </c>
      <c r="AZ68" s="27">
        <f t="shared" si="82"/>
        <v>-315714.14185640862</v>
      </c>
      <c r="BA68" s="27">
        <f t="shared" si="82"/>
        <v>-278112.39238451485</v>
      </c>
      <c r="BB68" s="27">
        <f t="shared" si="82"/>
        <v>-241165.53259442383</v>
      </c>
      <c r="BC68" s="27">
        <f t="shared" si="82"/>
        <v>-204862.89777588358</v>
      </c>
      <c r="BD68" s="27">
        <f t="shared" si="82"/>
        <v>-169193.9959082586</v>
      </c>
      <c r="BE68" s="27">
        <f t="shared" si="82"/>
        <v>-134148.50486562442</v>
      </c>
      <c r="BF68" s="27">
        <f t="shared" si="82"/>
        <v>-99716.269667095316</v>
      </c>
      <c r="BG68" s="27">
        <f t="shared" si="82"/>
        <v>-65887.299771652251</v>
      </c>
      <c r="BH68" s="27">
        <f t="shared" si="82"/>
        <v>-32651.766416750666</v>
      </c>
      <c r="BI68" s="27"/>
      <c r="BJ68" s="27"/>
      <c r="BK68" s="27"/>
      <c r="BL68" s="27"/>
      <c r="BM68" s="27"/>
      <c r="BN68" s="27"/>
      <c r="BO68" s="27"/>
    </row>
    <row r="69" spans="1:67">
      <c r="G69" s="45"/>
      <c r="J69" s="46"/>
    </row>
    <row r="70" spans="1:67">
      <c r="A70" s="24"/>
      <c r="C70" s="47"/>
      <c r="D70" s="47"/>
      <c r="E70" s="47"/>
      <c r="F70" s="47"/>
      <c r="G70" s="45"/>
    </row>
    <row r="71" spans="1:67">
      <c r="A71" s="24"/>
      <c r="C71" s="47"/>
      <c r="D71" s="47"/>
      <c r="E71" s="47"/>
      <c r="F71" s="47"/>
      <c r="G71" s="45"/>
      <c r="J71" s="48"/>
    </row>
    <row r="72" spans="1:67">
      <c r="A72" s="24"/>
      <c r="C72" s="47"/>
      <c r="D72" s="47"/>
      <c r="E72" s="47"/>
      <c r="F72" s="47"/>
      <c r="G72" s="45"/>
    </row>
    <row r="73" spans="1:67">
      <c r="A73" s="24"/>
      <c r="C73" s="47"/>
      <c r="D73" s="47"/>
      <c r="E73" s="47"/>
      <c r="F73" s="47"/>
      <c r="G73" s="45"/>
      <c r="J73" s="45"/>
    </row>
    <row r="74" spans="1:67">
      <c r="A74" s="24"/>
      <c r="C74" s="47"/>
      <c r="D74" s="47"/>
      <c r="E74" s="47"/>
      <c r="F74" s="47"/>
      <c r="G74" s="45"/>
    </row>
    <row r="75" spans="1:67">
      <c r="A75" s="24"/>
      <c r="C75" s="47"/>
      <c r="D75" s="47"/>
      <c r="E75" s="47"/>
      <c r="F75" s="47"/>
      <c r="G75" s="45"/>
    </row>
    <row r="76" spans="1:67">
      <c r="A76" s="24"/>
      <c r="C76" s="47"/>
      <c r="D76" s="47"/>
      <c r="E76" s="47"/>
      <c r="F76" s="47"/>
      <c r="G76" s="45"/>
    </row>
    <row r="77" spans="1:67">
      <c r="A77" s="24"/>
      <c r="C77" s="47"/>
      <c r="D77" s="47"/>
      <c r="E77" s="47"/>
      <c r="F77" s="47"/>
      <c r="G77" s="45"/>
    </row>
    <row r="78" spans="1:67">
      <c r="A78" s="24"/>
      <c r="C78" s="47"/>
      <c r="D78" s="47"/>
      <c r="E78" s="47"/>
      <c r="F78" s="47"/>
      <c r="G78" s="45"/>
    </row>
    <row r="79" spans="1:67">
      <c r="A79" s="24"/>
      <c r="C79" s="47"/>
      <c r="D79" s="47"/>
      <c r="E79" s="47"/>
      <c r="F79" s="47"/>
      <c r="G79" s="45"/>
    </row>
    <row r="80" spans="1:67">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6179-C04B-1744-BFA2-3487B643BA31}">
  <sheetPr>
    <tabColor rgb="FF7030A0"/>
  </sheetPr>
  <dimension ref="A1:CB91"/>
  <sheetViews>
    <sheetView topLeftCell="A4" zoomScale="90" zoomScaleNormal="90" workbookViewId="0">
      <pane xSplit="5" ySplit="27" topLeftCell="F31" activePane="bottomRight" state="frozen"/>
      <selection activeCell="A26" sqref="A26:A28"/>
      <selection pane="topRight" activeCell="A26" sqref="A26:A28"/>
      <selection pane="bottomLeft" activeCell="A26" sqref="A26:A28"/>
      <selection pane="bottomRight" activeCell="E22" sqref="E22"/>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3.4">
      <c r="A4" s="62" t="s">
        <v>69</v>
      </c>
    </row>
    <row r="5" spans="1:7" ht="21">
      <c r="A5" s="1"/>
    </row>
    <row r="6" spans="1:7" ht="21">
      <c r="A6" s="347" t="s">
        <v>1</v>
      </c>
      <c r="B6" s="348"/>
      <c r="C6" s="348"/>
      <c r="D6" s="349"/>
      <c r="F6" s="321" t="s">
        <v>2</v>
      </c>
      <c r="G6" s="322"/>
    </row>
    <row r="7" spans="1:7">
      <c r="A7" s="257" t="s">
        <v>3</v>
      </c>
      <c r="B7" s="263"/>
      <c r="C7" s="263"/>
      <c r="D7" s="295">
        <f>Data!D12</f>
        <v>2014</v>
      </c>
      <c r="F7" s="6" t="s">
        <v>4</v>
      </c>
      <c r="G7" s="7">
        <f>D13</f>
        <v>19191458.399999999</v>
      </c>
    </row>
    <row r="8" spans="1:7">
      <c r="A8" s="257" t="s">
        <v>5</v>
      </c>
      <c r="B8" s="263"/>
      <c r="C8" s="263"/>
      <c r="D8" s="296">
        <f>Data!F12</f>
        <v>2.5000000000000001E-3</v>
      </c>
      <c r="F8" s="6" t="s">
        <v>6</v>
      </c>
      <c r="G8" s="9">
        <f>D33*-1</f>
        <v>19699217.265002087</v>
      </c>
    </row>
    <row r="9" spans="1:7">
      <c r="A9" s="257" t="s">
        <v>7</v>
      </c>
      <c r="B9" s="263"/>
      <c r="C9" s="263"/>
      <c r="D9" s="260">
        <f>Data!G12</f>
        <v>4</v>
      </c>
      <c r="F9" s="11" t="s">
        <v>8</v>
      </c>
      <c r="G9" s="12">
        <f>D37*-1</f>
        <v>14631134.964891963</v>
      </c>
    </row>
    <row r="10" spans="1:7">
      <c r="A10" s="257" t="s">
        <v>9</v>
      </c>
      <c r="B10" s="263"/>
      <c r="C10" s="263"/>
      <c r="D10" s="260">
        <f>Data!E12</f>
        <v>14</v>
      </c>
    </row>
    <row r="11" spans="1:7">
      <c r="A11" s="257" t="s">
        <v>10</v>
      </c>
      <c r="B11" s="263"/>
      <c r="C11" s="263"/>
      <c r="D11" s="260">
        <v>2</v>
      </c>
      <c r="F11" s="321" t="s">
        <v>11</v>
      </c>
      <c r="G11" s="322"/>
    </row>
    <row r="12" spans="1:7">
      <c r="A12" s="257" t="s">
        <v>12</v>
      </c>
      <c r="B12" s="263"/>
      <c r="C12" s="263"/>
      <c r="D12" s="260">
        <f>(D10-D9)*2</f>
        <v>20</v>
      </c>
      <c r="F12" s="6" t="s">
        <v>4</v>
      </c>
      <c r="G12" s="7">
        <f>D13</f>
        <v>19191458.399999999</v>
      </c>
    </row>
    <row r="13" spans="1:7">
      <c r="A13" s="257" t="s">
        <v>259</v>
      </c>
      <c r="B13" s="263"/>
      <c r="C13" s="263"/>
      <c r="D13" s="297">
        <f>Data!B12</f>
        <v>19191458.399999999</v>
      </c>
      <c r="F13" s="6" t="s">
        <v>31</v>
      </c>
      <c r="G13" s="9">
        <f>D24</f>
        <v>18254476.182749894</v>
      </c>
    </row>
    <row r="14" spans="1:7">
      <c r="A14" s="298" t="s">
        <v>15</v>
      </c>
      <c r="B14" s="261"/>
      <c r="C14" s="261"/>
      <c r="D14" s="299">
        <v>3.2899999999999999E-2</v>
      </c>
      <c r="F14" s="6" t="s">
        <v>6</v>
      </c>
      <c r="G14" s="9">
        <f>(D44+D53+D62)*-1</f>
        <v>26450322.731603</v>
      </c>
    </row>
    <row r="15" spans="1:7">
      <c r="A15" s="263"/>
      <c r="B15" s="263"/>
      <c r="C15" s="263"/>
      <c r="D15" s="263"/>
      <c r="E15" s="16"/>
      <c r="F15" s="11" t="s">
        <v>8</v>
      </c>
      <c r="G15" s="12">
        <f>(D48+D57+D66)*-1</f>
        <v>16643871.528612621</v>
      </c>
    </row>
    <row r="16" spans="1:7" ht="20.399999999999999">
      <c r="A16" s="350" t="s">
        <v>16</v>
      </c>
      <c r="B16" s="351"/>
      <c r="C16" s="351"/>
      <c r="D16" s="352"/>
      <c r="E16" s="16"/>
      <c r="F16" s="16"/>
    </row>
    <row r="17" spans="1:80">
      <c r="A17" s="257" t="s">
        <v>17</v>
      </c>
      <c r="B17" s="263"/>
      <c r="C17" s="263"/>
      <c r="D17" s="300">
        <f>Data!H12</f>
        <v>2019</v>
      </c>
      <c r="E17" s="16"/>
      <c r="F17" s="323" t="s">
        <v>109</v>
      </c>
      <c r="G17" s="324"/>
      <c r="H17" s="120"/>
    </row>
    <row r="18" spans="1:80">
      <c r="A18" s="257" t="s">
        <v>5</v>
      </c>
      <c r="B18" s="263"/>
      <c r="C18" s="263"/>
      <c r="D18" s="259">
        <f>Data!N12</f>
        <v>1.4999999999999999E-2</v>
      </c>
      <c r="E18" s="16"/>
      <c r="F18" s="121" t="s">
        <v>44</v>
      </c>
      <c r="G18" s="118" t="s">
        <v>45</v>
      </c>
      <c r="H18" s="58"/>
    </row>
    <row r="19" spans="1:80">
      <c r="A19" s="257" t="s">
        <v>7</v>
      </c>
      <c r="B19" s="263"/>
      <c r="C19" s="263"/>
      <c r="D19" s="260">
        <f>Data!O12</f>
        <v>4</v>
      </c>
      <c r="E19" s="16"/>
      <c r="F19" s="119">
        <f>(1-((D8/D11)/D25))*(1-(((1/((1+D25)^(D11*D9)))-(1/((1+D25)^(D11*D10))))/(D25*(D11*D10-D11*D9))))</f>
        <v>0.33882226642123925</v>
      </c>
      <c r="G19" s="122">
        <f>(1-((D18/D21)/D25))*(1-(((1/((1+D25)^(D21*D19)))-(1/((1+D25)^(D21*D20))))/(D25*(D21*D20-D21*D19))))</f>
        <v>0.36936276656355727</v>
      </c>
    </row>
    <row r="20" spans="1:80">
      <c r="A20" s="257" t="s">
        <v>9</v>
      </c>
      <c r="B20" s="263"/>
      <c r="C20" s="263"/>
      <c r="D20" s="260">
        <f>Data!M12</f>
        <v>29</v>
      </c>
      <c r="E20" s="16"/>
      <c r="F20" s="16"/>
    </row>
    <row r="21" spans="1:80">
      <c r="A21" s="257" t="s">
        <v>10</v>
      </c>
      <c r="B21" s="263"/>
      <c r="C21" s="263"/>
      <c r="D21" s="260">
        <v>2</v>
      </c>
      <c r="E21" s="16"/>
      <c r="F21" s="16"/>
    </row>
    <row r="22" spans="1:80">
      <c r="A22" s="257" t="s">
        <v>12</v>
      </c>
      <c r="B22" s="263"/>
      <c r="C22" s="263"/>
      <c r="D22" s="260">
        <f>(D20-D19)*2</f>
        <v>50</v>
      </c>
      <c r="E22" s="16"/>
      <c r="F22" s="16"/>
    </row>
    <row r="23" spans="1:80">
      <c r="A23" s="257" t="s">
        <v>42</v>
      </c>
      <c r="B23" s="263"/>
      <c r="C23" s="263"/>
      <c r="D23" s="309">
        <f>D22-'ROC - Outstanding Balances'!O93-6</f>
        <v>43</v>
      </c>
      <c r="E23" s="16"/>
      <c r="F23" s="16"/>
    </row>
    <row r="24" spans="1:80">
      <c r="A24" s="257" t="s">
        <v>260</v>
      </c>
      <c r="B24" s="263"/>
      <c r="C24" s="263"/>
      <c r="D24" s="301">
        <f>Data!L12</f>
        <v>18254476.182749894</v>
      </c>
      <c r="E24" s="16"/>
      <c r="F24" s="16"/>
    </row>
    <row r="25" spans="1:80">
      <c r="A25" s="196" t="s">
        <v>187</v>
      </c>
      <c r="B25" s="14"/>
      <c r="C25" s="14"/>
      <c r="D25" s="195">
        <f>(1.05^0.5)-1</f>
        <v>2.4695076595959931E-2</v>
      </c>
      <c r="E25" s="16"/>
      <c r="F25" s="16"/>
    </row>
    <row r="26" spans="1:80" s="19" customFormat="1" ht="46.8">
      <c r="A26" s="302" t="s">
        <v>43</v>
      </c>
      <c r="E26" s="20"/>
      <c r="F26" s="21" t="s">
        <v>19</v>
      </c>
      <c r="H26" s="51"/>
      <c r="L26" s="21" t="s">
        <v>20</v>
      </c>
      <c r="N26" s="51"/>
      <c r="R26" s="51"/>
      <c r="T26" s="51"/>
      <c r="W26" s="51"/>
      <c r="Y26" s="21" t="s">
        <v>21</v>
      </c>
      <c r="AA26" s="51"/>
      <c r="AD26" s="51"/>
      <c r="AI26" s="51"/>
      <c r="BC26" s="21" t="s">
        <v>22</v>
      </c>
      <c r="BE26" s="51"/>
      <c r="BH26" s="51"/>
      <c r="BM26" s="51"/>
      <c r="BO26" s="51"/>
    </row>
    <row r="27" spans="1:80">
      <c r="A27" s="262" t="s">
        <v>23</v>
      </c>
      <c r="D27" s="2"/>
      <c r="E27" s="23" t="s">
        <v>87</v>
      </c>
      <c r="F27" s="24">
        <v>43465</v>
      </c>
      <c r="G27" s="24">
        <v>43646</v>
      </c>
      <c r="H27" s="24">
        <v>43830</v>
      </c>
      <c r="I27" s="24">
        <v>44012</v>
      </c>
      <c r="J27" s="24">
        <v>44196</v>
      </c>
      <c r="K27" s="24">
        <v>44377</v>
      </c>
      <c r="L27" s="24">
        <v>44561</v>
      </c>
      <c r="M27" s="24">
        <v>44742</v>
      </c>
      <c r="N27" s="24">
        <v>44926</v>
      </c>
      <c r="O27" s="24">
        <v>45107</v>
      </c>
      <c r="P27" s="24">
        <v>45291</v>
      </c>
      <c r="Q27" s="24">
        <v>45473</v>
      </c>
      <c r="R27" s="24">
        <v>45657</v>
      </c>
      <c r="S27" s="24">
        <v>45838</v>
      </c>
      <c r="T27" s="24">
        <v>46022</v>
      </c>
      <c r="U27" s="24">
        <v>46203</v>
      </c>
      <c r="V27" s="24">
        <v>46387</v>
      </c>
      <c r="W27" s="24">
        <v>46568</v>
      </c>
      <c r="X27" s="24">
        <v>46752</v>
      </c>
      <c r="Y27" s="24">
        <v>46934</v>
      </c>
      <c r="Z27" s="24">
        <v>47118</v>
      </c>
      <c r="AA27" s="24">
        <v>47299</v>
      </c>
      <c r="AB27" s="24">
        <v>47483</v>
      </c>
      <c r="AC27" s="24">
        <v>47664</v>
      </c>
      <c r="AD27" s="24">
        <v>47848</v>
      </c>
      <c r="AE27" s="24">
        <v>48029</v>
      </c>
      <c r="AF27" s="24">
        <v>48213</v>
      </c>
      <c r="AG27" s="24">
        <v>48395</v>
      </c>
      <c r="AH27" s="24">
        <v>48579</v>
      </c>
      <c r="AI27" s="24">
        <v>48760</v>
      </c>
      <c r="AJ27" s="24">
        <v>48944</v>
      </c>
      <c r="AK27" s="24">
        <v>49125</v>
      </c>
      <c r="AL27" s="24">
        <v>49309</v>
      </c>
      <c r="AM27" s="24">
        <v>49490</v>
      </c>
      <c r="AN27" s="24">
        <v>49674</v>
      </c>
      <c r="AO27" s="24">
        <v>49856</v>
      </c>
      <c r="AP27" s="24">
        <v>50040</v>
      </c>
      <c r="AQ27" s="24">
        <v>50221</v>
      </c>
      <c r="AR27" s="24">
        <v>50405</v>
      </c>
      <c r="AS27" s="24">
        <v>50586</v>
      </c>
      <c r="AT27" s="24">
        <v>50770</v>
      </c>
      <c r="AU27" s="24">
        <v>50951</v>
      </c>
      <c r="AV27" s="24">
        <v>51135</v>
      </c>
      <c r="AW27" s="24">
        <v>51317</v>
      </c>
      <c r="AX27" s="24">
        <v>51501</v>
      </c>
      <c r="AY27" s="24">
        <v>51682</v>
      </c>
      <c r="AZ27" s="24">
        <v>51866</v>
      </c>
      <c r="BA27" s="24">
        <v>52047</v>
      </c>
      <c r="BB27" s="24">
        <v>52231</v>
      </c>
      <c r="BC27" s="24">
        <v>52412</v>
      </c>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row>
    <row r="28" spans="1:80">
      <c r="A28" s="262" t="s">
        <v>38</v>
      </c>
      <c r="D28" s="2"/>
      <c r="E28" s="23"/>
      <c r="F28" s="54">
        <f>(D9*2)+1</f>
        <v>9</v>
      </c>
      <c r="G28" s="54">
        <f>F28+1</f>
        <v>10</v>
      </c>
      <c r="H28" s="54">
        <f t="shared" ref="H28:BC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c r="A29" s="2" t="s">
        <v>26</v>
      </c>
      <c r="E29" s="25"/>
      <c r="F29" s="25">
        <f>1/(1+($D14/$D11))^F28</f>
        <v>0.86342738359377502</v>
      </c>
      <c r="G29" s="25">
        <f t="shared" ref="G29:BC29" si="1">1/(1+($D14/$D11))^G28</f>
        <v>0.84945386747383023</v>
      </c>
      <c r="H29" s="25">
        <f t="shared" si="1"/>
        <v>0.83570649562086685</v>
      </c>
      <c r="I29" s="25">
        <f t="shared" si="1"/>
        <v>0.82218160816652752</v>
      </c>
      <c r="J29" s="25">
        <f t="shared" si="1"/>
        <v>0.80887560447294737</v>
      </c>
      <c r="K29" s="25">
        <f t="shared" si="1"/>
        <v>0.79578494217418216</v>
      </c>
      <c r="L29" s="25">
        <f t="shared" si="1"/>
        <v>0.78290613623314675</v>
      </c>
      <c r="M29" s="25">
        <f t="shared" si="1"/>
        <v>0.77023575801381938</v>
      </c>
      <c r="N29" s="25">
        <f t="shared" si="1"/>
        <v>0.75777043436845815</v>
      </c>
      <c r="O29" s="25">
        <f t="shared" si="1"/>
        <v>0.74550684673959167</v>
      </c>
      <c r="P29" s="25">
        <f t="shared" si="1"/>
        <v>0.73344173027654258</v>
      </c>
      <c r="Q29" s="25">
        <f t="shared" si="1"/>
        <v>0.7215718729662477</v>
      </c>
      <c r="R29" s="25">
        <f t="shared" si="1"/>
        <v>0.70989411477814712</v>
      </c>
      <c r="S29" s="25">
        <f t="shared" si="1"/>
        <v>0.69840534682291022</v>
      </c>
      <c r="T29" s="25">
        <f t="shared" si="1"/>
        <v>0.68710251052477755</v>
      </c>
      <c r="U29" s="25">
        <f t="shared" si="1"/>
        <v>0.67598259680729744</v>
      </c>
      <c r="V29" s="25">
        <f t="shared" si="1"/>
        <v>0.66504264529224011</v>
      </c>
      <c r="W29" s="25">
        <f t="shared" si="1"/>
        <v>0.65427974351147611</v>
      </c>
      <c r="X29" s="25">
        <f t="shared" si="1"/>
        <v>0.643691026131611</v>
      </c>
      <c r="Y29" s="25">
        <f t="shared" si="1"/>
        <v>0.63327367419116631</v>
      </c>
      <c r="Z29" s="25">
        <f t="shared" si="1"/>
        <v>0.62302491435010698</v>
      </c>
      <c r="AA29" s="25">
        <f t="shared" si="1"/>
        <v>0.61294201815151461</v>
      </c>
      <c r="AB29" s="25">
        <f t="shared" si="1"/>
        <v>0.60302230129520829</v>
      </c>
      <c r="AC29" s="25">
        <f t="shared" si="1"/>
        <v>0.59326312292312289</v>
      </c>
      <c r="AD29" s="25">
        <f t="shared" si="1"/>
        <v>0.5836618849162506</v>
      </c>
      <c r="AE29" s="25">
        <f t="shared" si="1"/>
        <v>0.57421603120296161</v>
      </c>
      <c r="AF29" s="25">
        <f t="shared" si="1"/>
        <v>0.56492304707851992</v>
      </c>
      <c r="AG29" s="25">
        <f t="shared" si="1"/>
        <v>0.55578045853560909</v>
      </c>
      <c r="AH29" s="25">
        <f t="shared" si="1"/>
        <v>0.54678583160569538</v>
      </c>
      <c r="AI29" s="25">
        <f t="shared" si="1"/>
        <v>0.53793677171104859</v>
      </c>
      <c r="AJ29" s="25">
        <f t="shared" si="1"/>
        <v>0.52923092302725028</v>
      </c>
      <c r="AK29" s="25">
        <f t="shared" si="1"/>
        <v>0.52066596785601871</v>
      </c>
      <c r="AL29" s="25">
        <f t="shared" si="1"/>
        <v>0.51223962600818418</v>
      </c>
      <c r="AM29" s="25">
        <f t="shared" si="1"/>
        <v>0.50394965419664906</v>
      </c>
      <c r="AN29" s="25">
        <f t="shared" si="1"/>
        <v>0.4957938454391746</v>
      </c>
      <c r="AO29" s="25">
        <f t="shared" si="1"/>
        <v>0.48777002847082945</v>
      </c>
      <c r="AP29" s="25">
        <f t="shared" si="1"/>
        <v>0.47987606716594949</v>
      </c>
      <c r="AQ29" s="25">
        <f t="shared" si="1"/>
        <v>0.47210985996945204</v>
      </c>
      <c r="AR29" s="25">
        <f t="shared" si="1"/>
        <v>0.46446933933735252</v>
      </c>
      <c r="AS29" s="25">
        <f t="shared" si="1"/>
        <v>0.45695247118633725</v>
      </c>
      <c r="AT29" s="25">
        <f t="shared" si="1"/>
        <v>0.44955725435224281</v>
      </c>
      <c r="AU29" s="25">
        <f t="shared" si="1"/>
        <v>0.44228172005730015</v>
      </c>
      <c r="AV29" s="25">
        <f t="shared" si="1"/>
        <v>0.43512393138600036</v>
      </c>
      <c r="AW29" s="25">
        <f t="shared" si="1"/>
        <v>0.42808198276944304</v>
      </c>
      <c r="AX29" s="25">
        <f t="shared" si="1"/>
        <v>0.42115399947802934</v>
      </c>
      <c r="AY29" s="25">
        <f t="shared" si="1"/>
        <v>0.41433813712236645</v>
      </c>
      <c r="AZ29" s="25">
        <f t="shared" si="1"/>
        <v>0.40763258116224743</v>
      </c>
      <c r="BA29" s="25">
        <f t="shared" si="1"/>
        <v>0.40103554642357953</v>
      </c>
      <c r="BB29" s="25">
        <f t="shared" si="1"/>
        <v>0.39454527662312905</v>
      </c>
      <c r="BC29" s="25">
        <f t="shared" si="1"/>
        <v>0.3881600439009581</v>
      </c>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BI32" s="23"/>
      <c r="BJ32" s="24"/>
      <c r="BK32" s="23"/>
      <c r="BL32" s="24"/>
      <c r="BM32" s="23"/>
      <c r="BN32" s="24"/>
      <c r="BO32" s="23"/>
      <c r="BP32" s="24"/>
      <c r="BQ32" s="23"/>
      <c r="BR32" s="24"/>
      <c r="BS32" s="23"/>
      <c r="BT32" s="24"/>
      <c r="BU32" s="23"/>
      <c r="BV32" s="24"/>
      <c r="BW32" s="23"/>
    </row>
    <row r="33" spans="1:75">
      <c r="A33" s="27"/>
      <c r="B33" s="26" t="s">
        <v>28</v>
      </c>
      <c r="C33" s="27"/>
      <c r="D33" s="27">
        <f>SUM(E33:CC33)</f>
        <v>-19699217.265002087</v>
      </c>
      <c r="E33" s="27"/>
      <c r="F33" s="27">
        <f t="shared" ref="F33:Y33" si="2">PMT($D$8,$D$12,$D$13)</f>
        <v>-984960.86325010448</v>
      </c>
      <c r="G33" s="27">
        <f t="shared" si="2"/>
        <v>-984960.86325010448</v>
      </c>
      <c r="H33" s="27">
        <f t="shared" si="2"/>
        <v>-984960.86325010448</v>
      </c>
      <c r="I33" s="27">
        <f t="shared" si="2"/>
        <v>-984960.86325010448</v>
      </c>
      <c r="J33" s="27">
        <f t="shared" si="2"/>
        <v>-984960.86325010448</v>
      </c>
      <c r="K33" s="27">
        <f t="shared" si="2"/>
        <v>-984960.86325010448</v>
      </c>
      <c r="L33" s="27">
        <f t="shared" si="2"/>
        <v>-984960.86325010448</v>
      </c>
      <c r="M33" s="27">
        <f t="shared" si="2"/>
        <v>-984960.86325010448</v>
      </c>
      <c r="N33" s="27">
        <f t="shared" si="2"/>
        <v>-984960.86325010448</v>
      </c>
      <c r="O33" s="27">
        <f t="shared" si="2"/>
        <v>-984960.86325010448</v>
      </c>
      <c r="P33" s="27">
        <f t="shared" si="2"/>
        <v>-984960.86325010448</v>
      </c>
      <c r="Q33" s="27">
        <f t="shared" si="2"/>
        <v>-984960.86325010448</v>
      </c>
      <c r="R33" s="27">
        <f t="shared" si="2"/>
        <v>-984960.86325010448</v>
      </c>
      <c r="S33" s="27">
        <f t="shared" si="2"/>
        <v>-984960.86325010448</v>
      </c>
      <c r="T33" s="27">
        <f t="shared" si="2"/>
        <v>-984960.86325010448</v>
      </c>
      <c r="U33" s="27">
        <f t="shared" si="2"/>
        <v>-984960.86325010448</v>
      </c>
      <c r="V33" s="27">
        <f t="shared" si="2"/>
        <v>-984960.86325010448</v>
      </c>
      <c r="W33" s="27">
        <f t="shared" si="2"/>
        <v>-984960.86325010448</v>
      </c>
      <c r="X33" s="27">
        <f t="shared" si="2"/>
        <v>-984960.86325010448</v>
      </c>
      <c r="Y33" s="27">
        <f t="shared" si="2"/>
        <v>-984960.86325010448</v>
      </c>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3">SUM(E34:CC34)</f>
        <v>-19191458.399999999</v>
      </c>
      <c r="E34" s="27"/>
      <c r="F34" s="27">
        <f t="shared" ref="F34:Y34" si="4">PPMT($D$8,F32,$D$12,$D$13)</f>
        <v>-936982.21725010441</v>
      </c>
      <c r="G34" s="27">
        <f t="shared" si="4"/>
        <v>-939324.67279322969</v>
      </c>
      <c r="H34" s="27">
        <f t="shared" si="4"/>
        <v>-941672.98447521287</v>
      </c>
      <c r="I34" s="27">
        <f t="shared" si="4"/>
        <v>-944027.16693640104</v>
      </c>
      <c r="J34" s="27">
        <f t="shared" si="4"/>
        <v>-946387.23485374195</v>
      </c>
      <c r="K34" s="27">
        <f t="shared" si="4"/>
        <v>-948753.20294087625</v>
      </c>
      <c r="L34" s="27">
        <f t="shared" si="4"/>
        <v>-951125.08594822837</v>
      </c>
      <c r="M34" s="27">
        <f t="shared" si="4"/>
        <v>-953502.89866309892</v>
      </c>
      <c r="N34" s="27">
        <f t="shared" si="4"/>
        <v>-955886.65590975678</v>
      </c>
      <c r="O34" s="27">
        <f t="shared" si="4"/>
        <v>-958276.37254953117</v>
      </c>
      <c r="P34" s="27">
        <f t="shared" si="4"/>
        <v>-960672.06348090491</v>
      </c>
      <c r="Q34" s="27">
        <f t="shared" si="4"/>
        <v>-963073.7436396071</v>
      </c>
      <c r="R34" s="27">
        <f t="shared" si="4"/>
        <v>-965481.42799870623</v>
      </c>
      <c r="S34" s="27">
        <f t="shared" si="4"/>
        <v>-967895.1315687031</v>
      </c>
      <c r="T34" s="27">
        <f t="shared" si="4"/>
        <v>-970314.86939762475</v>
      </c>
      <c r="U34" s="27">
        <f t="shared" si="4"/>
        <v>-972740.65657111886</v>
      </c>
      <c r="V34" s="27">
        <f t="shared" si="4"/>
        <v>-975172.50821254659</v>
      </c>
      <c r="W34" s="27">
        <f t="shared" si="4"/>
        <v>-977610.43948307796</v>
      </c>
      <c r="X34" s="27">
        <f t="shared" si="4"/>
        <v>-980054.46558178565</v>
      </c>
      <c r="Y34" s="27">
        <f t="shared" si="4"/>
        <v>-982504.60174574016</v>
      </c>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-507758.86500209314</v>
      </c>
      <c r="E35" s="27"/>
      <c r="F35" s="27">
        <f t="shared" ref="F35:Y35" si="5">IPMT($D$8,F32,$D$12,$D13)</f>
        <v>-47978.646000000001</v>
      </c>
      <c r="G35" s="27">
        <f t="shared" si="5"/>
        <v>-45636.190456874734</v>
      </c>
      <c r="H35" s="27">
        <f t="shared" si="5"/>
        <v>-43287.878774891658</v>
      </c>
      <c r="I35" s="27">
        <f t="shared" si="5"/>
        <v>-40933.696313703629</v>
      </c>
      <c r="J35" s="27">
        <f t="shared" si="5"/>
        <v>-38573.628396362627</v>
      </c>
      <c r="K35" s="27">
        <f t="shared" si="5"/>
        <v>-36207.660309228268</v>
      </c>
      <c r="L35" s="27">
        <f t="shared" si="5"/>
        <v>-33835.777301876078</v>
      </c>
      <c r="M35" s="27">
        <f t="shared" si="5"/>
        <v>-31457.964587005506</v>
      </c>
      <c r="N35" s="27">
        <f t="shared" si="5"/>
        <v>-29074.207340347763</v>
      </c>
      <c r="O35" s="27">
        <f t="shared" si="5"/>
        <v>-26684.490700573369</v>
      </c>
      <c r="P35" s="27">
        <f t="shared" si="5"/>
        <v>-24288.799769199541</v>
      </c>
      <c r="Q35" s="27">
        <f t="shared" si="5"/>
        <v>-21887.119610497273</v>
      </c>
      <c r="R35" s="27">
        <f t="shared" si="5"/>
        <v>-19479.435251398259</v>
      </c>
      <c r="S35" s="27">
        <f t="shared" si="5"/>
        <v>-17065.731681401496</v>
      </c>
      <c r="T35" s="27">
        <f t="shared" si="5"/>
        <v>-14645.993852479738</v>
      </c>
      <c r="U35" s="27">
        <f t="shared" si="5"/>
        <v>-12220.206678985674</v>
      </c>
      <c r="V35" s="27">
        <f t="shared" si="5"/>
        <v>-9788.3550375578761</v>
      </c>
      <c r="W35" s="27">
        <f t="shared" si="5"/>
        <v>-7350.4237670265102</v>
      </c>
      <c r="X35" s="27">
        <f t="shared" si="5"/>
        <v>-4906.3976683188148</v>
      </c>
      <c r="Y35" s="27">
        <f t="shared" si="5"/>
        <v>-2456.2615043643509</v>
      </c>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19191458.399999999</v>
      </c>
      <c r="F36" s="34">
        <f>E36+F34</f>
        <v>18254476.182749894</v>
      </c>
      <c r="G36" s="34">
        <f t="shared" ref="G36:Y36" si="6">F$36+G$34</f>
        <v>17315151.509956665</v>
      </c>
      <c r="H36" s="34">
        <f t="shared" si="6"/>
        <v>16373478.525481453</v>
      </c>
      <c r="I36" s="34">
        <f t="shared" si="6"/>
        <v>15429451.358545052</v>
      </c>
      <c r="J36" s="34">
        <f t="shared" si="6"/>
        <v>14483064.123691309</v>
      </c>
      <c r="K36" s="34">
        <f t="shared" si="6"/>
        <v>13534310.920750434</v>
      </c>
      <c r="L36" s="34">
        <f t="shared" si="6"/>
        <v>12583185.834802205</v>
      </c>
      <c r="M36" s="34">
        <f t="shared" si="6"/>
        <v>11629682.936139107</v>
      </c>
      <c r="N36" s="34">
        <f t="shared" si="6"/>
        <v>10673796.280229351</v>
      </c>
      <c r="O36" s="34">
        <f t="shared" si="6"/>
        <v>9715519.9076798186</v>
      </c>
      <c r="P36" s="34">
        <f t="shared" si="6"/>
        <v>8754847.8441989142</v>
      </c>
      <c r="Q36" s="34">
        <f t="shared" si="6"/>
        <v>7791774.1005593073</v>
      </c>
      <c r="R36" s="34">
        <f t="shared" si="6"/>
        <v>6826292.6725606006</v>
      </c>
      <c r="S36" s="34">
        <f t="shared" si="6"/>
        <v>5858397.5409918977</v>
      </c>
      <c r="T36" s="34">
        <f t="shared" si="6"/>
        <v>4888082.6715942733</v>
      </c>
      <c r="U36" s="34">
        <f t="shared" si="6"/>
        <v>3915342.0150231542</v>
      </c>
      <c r="V36" s="34">
        <f t="shared" si="6"/>
        <v>2940169.5068106074</v>
      </c>
      <c r="W36" s="34">
        <f t="shared" si="6"/>
        <v>1962559.0673275294</v>
      </c>
      <c r="X36" s="34">
        <f t="shared" si="6"/>
        <v>982504.60174574377</v>
      </c>
      <c r="Y36" s="34">
        <f t="shared" si="6"/>
        <v>3.6088749766349792E-9</v>
      </c>
      <c r="Z36" s="34"/>
      <c r="AA36" s="34"/>
      <c r="AB36" s="34"/>
      <c r="AC36" s="34"/>
      <c r="AD36" s="34"/>
      <c r="AE36" s="34"/>
      <c r="AF36" s="34"/>
      <c r="AG36" s="34"/>
      <c r="AH36" s="34"/>
      <c r="AI36" s="34"/>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-14631134.964891963</v>
      </c>
      <c r="E37" s="34"/>
      <c r="F37" s="34">
        <f t="shared" ref="F37:Y37" si="7">F33*F29</f>
        <v>-850442.18109830376</v>
      </c>
      <c r="G37" s="34">
        <f t="shared" si="7"/>
        <v>-836678.81459816371</v>
      </c>
      <c r="H37" s="34">
        <f t="shared" si="7"/>
        <v>-823138.19135044864</v>
      </c>
      <c r="I37" s="34">
        <f t="shared" si="7"/>
        <v>-809816.70652806212</v>
      </c>
      <c r="J37" s="34">
        <f t="shared" si="7"/>
        <v>-796710.81364362431</v>
      </c>
      <c r="K37" s="34">
        <f t="shared" si="7"/>
        <v>-783817.02360531699</v>
      </c>
      <c r="L37" s="34">
        <f t="shared" si="7"/>
        <v>-771131.90378800407</v>
      </c>
      <c r="M37" s="34">
        <f t="shared" si="7"/>
        <v>-758652.07711939013</v>
      </c>
      <c r="N37" s="34">
        <f t="shared" si="7"/>
        <v>-746374.22118096321</v>
      </c>
      <c r="O37" s="34">
        <f t="shared" si="7"/>
        <v>-734295.06732349156</v>
      </c>
      <c r="P37" s="34">
        <f t="shared" si="7"/>
        <v>-722411.39979683363</v>
      </c>
      <c r="Q37" s="34">
        <f t="shared" si="7"/>
        <v>-710720.05489383009</v>
      </c>
      <c r="R37" s="34">
        <f t="shared" si="7"/>
        <v>-699217.92010805255</v>
      </c>
      <c r="S37" s="34">
        <f t="shared" si="7"/>
        <v>-687901.93330518226</v>
      </c>
      <c r="T37" s="34">
        <f t="shared" si="7"/>
        <v>-676769.08190779889</v>
      </c>
      <c r="U37" s="34">
        <f t="shared" si="7"/>
        <v>-665816.40209336299</v>
      </c>
      <c r="V37" s="34">
        <f t="shared" si="7"/>
        <v>-655040.97800517781</v>
      </c>
      <c r="W37" s="34">
        <f t="shared" si="7"/>
        <v>-644439.94097612042</v>
      </c>
      <c r="X37" s="34">
        <f t="shared" si="7"/>
        <v>-634010.46876493713</v>
      </c>
      <c r="Y37" s="34">
        <f t="shared" si="7"/>
        <v>-623749.78480489657</v>
      </c>
      <c r="Z37" s="34"/>
      <c r="AA37" s="34"/>
      <c r="AB37" s="34"/>
      <c r="AC37" s="34"/>
      <c r="AD37" s="34"/>
      <c r="AE37" s="34"/>
      <c r="AF37" s="34"/>
      <c r="AG37" s="34"/>
      <c r="AH37" s="34"/>
      <c r="AI37" s="34"/>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-14234740.819012299</v>
      </c>
      <c r="E38" s="34"/>
      <c r="F38" s="34">
        <f t="shared" ref="F38:Y38" si="8">F34*F29</f>
        <v>-809016.1043141518</v>
      </c>
      <c r="G38" s="34">
        <f t="shared" si="8"/>
        <v>-797912.97611779906</v>
      </c>
      <c r="H38" s="34">
        <f t="shared" si="8"/>
        <v>-786962.22987662314</v>
      </c>
      <c r="I38" s="34">
        <f t="shared" si="8"/>
        <v>-776161.77426466113</v>
      </c>
      <c r="J38" s="34">
        <f t="shared" si="8"/>
        <v>-765509.54665780172</v>
      </c>
      <c r="K38" s="34">
        <f t="shared" si="8"/>
        <v>-755003.51273987535</v>
      </c>
      <c r="L38" s="34">
        <f t="shared" si="8"/>
        <v>-744641.66611414705</v>
      </c>
      <c r="M38" s="34">
        <f t="shared" si="8"/>
        <v>-734422.02792014601</v>
      </c>
      <c r="N38" s="34">
        <f t="shared" si="8"/>
        <v>-724342.64645574929</v>
      </c>
      <c r="O38" s="34">
        <f t="shared" si="8"/>
        <v>-714401.59680445516</v>
      </c>
      <c r="P38" s="34">
        <f t="shared" si="8"/>
        <v>-704596.98046777141</v>
      </c>
      <c r="Q38" s="34">
        <f t="shared" si="8"/>
        <v>-694926.92500264721</v>
      </c>
      <c r="R38" s="34">
        <f t="shared" si="8"/>
        <v>-685389.58366388292</v>
      </c>
      <c r="S38" s="34">
        <f t="shared" si="8"/>
        <v>-675983.13505144638</v>
      </c>
      <c r="T38" s="34">
        <f t="shared" si="8"/>
        <v>-666705.78276262956</v>
      </c>
      <c r="U38" s="34">
        <f t="shared" si="8"/>
        <v>-657555.75504898047</v>
      </c>
      <c r="V38" s="34">
        <f t="shared" si="8"/>
        <v>-648531.30447794078</v>
      </c>
      <c r="W38" s="34">
        <f t="shared" si="8"/>
        <v>-639630.70759912964</v>
      </c>
      <c r="X38" s="34">
        <f t="shared" si="8"/>
        <v>-630852.26461520721</v>
      </c>
      <c r="Y38" s="34">
        <f t="shared" si="8"/>
        <v>-622194.29905725352</v>
      </c>
      <c r="Z38" s="34"/>
      <c r="AA38" s="34"/>
      <c r="AB38" s="34"/>
      <c r="AC38" s="34"/>
      <c r="AD38" s="34"/>
      <c r="AE38" s="34"/>
      <c r="AF38" s="34"/>
      <c r="AG38" s="34"/>
      <c r="AH38" s="34"/>
      <c r="AI38" s="34"/>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-396394.14587966225</v>
      </c>
      <c r="E39" s="34"/>
      <c r="F39" s="34">
        <f t="shared" ref="F39:Y39" si="9">F35*F29</f>
        <v>-41426.076784151941</v>
      </c>
      <c r="G39" s="34">
        <f t="shared" si="9"/>
        <v>-38765.838480364546</v>
      </c>
      <c r="H39" s="34">
        <f t="shared" si="9"/>
        <v>-36175.961473825613</v>
      </c>
      <c r="I39" s="34">
        <f t="shared" si="9"/>
        <v>-33654.932263401111</v>
      </c>
      <c r="J39" s="34">
        <f t="shared" si="9"/>
        <v>-31201.266985822665</v>
      </c>
      <c r="K39" s="34">
        <f t="shared" si="9"/>
        <v>-28813.510865441647</v>
      </c>
      <c r="L39" s="34">
        <f t="shared" si="9"/>
        <v>-26490.237673857009</v>
      </c>
      <c r="M39" s="34">
        <f t="shared" si="9"/>
        <v>-24230.049199244073</v>
      </c>
      <c r="N39" s="34">
        <f t="shared" si="9"/>
        <v>-22031.574725213937</v>
      </c>
      <c r="O39" s="34">
        <f t="shared" si="9"/>
        <v>-19893.470519036411</v>
      </c>
      <c r="P39" s="34">
        <f t="shared" si="9"/>
        <v>-17814.419329062199</v>
      </c>
      <c r="Q39" s="34">
        <f t="shared" si="9"/>
        <v>-15793.129891182807</v>
      </c>
      <c r="R39" s="34">
        <f t="shared" si="9"/>
        <v>-13828.336444169601</v>
      </c>
      <c r="S39" s="34">
        <f t="shared" si="9"/>
        <v>-11918.798253735938</v>
      </c>
      <c r="T39" s="34">
        <f t="shared" si="9"/>
        <v>-10063.299145169287</v>
      </c>
      <c r="U39" s="34">
        <f t="shared" si="9"/>
        <v>-8260.6470443826165</v>
      </c>
      <c r="V39" s="34">
        <f t="shared" si="9"/>
        <v>-6509.6735272371143</v>
      </c>
      <c r="W39" s="34">
        <f t="shared" si="9"/>
        <v>-4809.2333769907627</v>
      </c>
      <c r="X39" s="34">
        <f t="shared" si="9"/>
        <v>-3158.2041497298815</v>
      </c>
      <c r="Y39" s="34">
        <f t="shared" si="9"/>
        <v>-1555.4857476431339</v>
      </c>
      <c r="Z39" s="34"/>
      <c r="AA39" s="34"/>
      <c r="AB39" s="34"/>
      <c r="AC39" s="34"/>
      <c r="AD39" s="34"/>
      <c r="AE39" s="34"/>
      <c r="AF39" s="34"/>
      <c r="AG39" s="34"/>
      <c r="AH39" s="34"/>
      <c r="AI39" s="34"/>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BI43" s="23"/>
      <c r="BJ43" s="24"/>
      <c r="BK43" s="23"/>
      <c r="BL43" s="24"/>
      <c r="BM43" s="23"/>
      <c r="BN43" s="24"/>
      <c r="BO43" s="23"/>
      <c r="BP43" s="24"/>
      <c r="BQ43" s="23"/>
      <c r="BR43" s="24"/>
      <c r="BS43" s="23"/>
      <c r="BT43" s="24"/>
      <c r="BU43" s="23"/>
      <c r="BV43" s="24"/>
      <c r="BW43" s="23"/>
    </row>
    <row r="44" spans="1:75">
      <c r="A44" s="41"/>
      <c r="B44" s="26" t="s">
        <v>28</v>
      </c>
      <c r="C44" s="27"/>
      <c r="D44" s="27">
        <f t="shared" si="3"/>
        <v>-984960.86325010448</v>
      </c>
      <c r="E44" s="34"/>
      <c r="F44" s="34">
        <f>PMT($D$8,$D$12,$D$13)</f>
        <v>-984960.86325010448</v>
      </c>
      <c r="G44" s="34"/>
      <c r="H44" s="34"/>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-936982.21725010441</v>
      </c>
      <c r="E45" s="34"/>
      <c r="F45" s="34">
        <f>PPMT($D$8,F43, $D$12,$D$13)</f>
        <v>-936982.21725010441</v>
      </c>
      <c r="G45" s="34"/>
      <c r="H45" s="34"/>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-47978.646000000001</v>
      </c>
      <c r="E46" s="27"/>
      <c r="F46" s="34">
        <f>IPMT($D$8, F43, $D$12,$D$13)</f>
        <v>-47978.646000000001</v>
      </c>
      <c r="G46" s="34"/>
      <c r="H46" s="34"/>
      <c r="I46" s="34"/>
      <c r="J46" s="34"/>
      <c r="K46" s="34"/>
      <c r="L46" s="34"/>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19191458.399999999</v>
      </c>
      <c r="F47" s="27">
        <f t="shared" ref="F47" si="10">E47+F45</f>
        <v>18254476.182749894</v>
      </c>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-850442.18109830376</v>
      </c>
      <c r="E48" s="27"/>
      <c r="F48" s="27">
        <f>F44*F29</f>
        <v>-850442.18109830376</v>
      </c>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-809016.1043141518</v>
      </c>
      <c r="E49" s="27"/>
      <c r="F49" s="27">
        <f t="shared" ref="F49" si="11">F45*F29</f>
        <v>-809016.1043141518</v>
      </c>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-41426.076784151941</v>
      </c>
      <c r="E50" s="27"/>
      <c r="F50" s="27">
        <f t="shared" ref="F50" si="12">F46*F29</f>
        <v>-41426.076784151941</v>
      </c>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G52">
        <v>1</v>
      </c>
      <c r="H52">
        <v>2</v>
      </c>
      <c r="I52">
        <v>3</v>
      </c>
      <c r="J52">
        <v>4</v>
      </c>
      <c r="K52">
        <v>5</v>
      </c>
      <c r="L52">
        <v>6</v>
      </c>
      <c r="BI52" s="23"/>
      <c r="BJ52" s="24"/>
      <c r="BK52" s="23"/>
      <c r="BL52" s="24"/>
      <c r="BM52" s="23"/>
      <c r="BN52" s="24"/>
      <c r="BO52" s="23"/>
      <c r="BP52" s="24"/>
      <c r="BQ52" s="23"/>
      <c r="BR52" s="24"/>
      <c r="BS52" s="23"/>
      <c r="BT52" s="24"/>
      <c r="BU52" s="23"/>
      <c r="BV52" s="24"/>
      <c r="BW52" s="23"/>
    </row>
    <row r="53" spans="1:75">
      <c r="A53" s="41"/>
      <c r="B53" s="26" t="s">
        <v>28</v>
      </c>
      <c r="C53" s="27"/>
      <c r="D53" s="27">
        <f t="shared" si="3"/>
        <v>-6138178.3988990253</v>
      </c>
      <c r="E53" s="34"/>
      <c r="F53" s="34"/>
      <c r="G53" s="34">
        <f>PMT($D$8,6,$D$24/3)</f>
        <v>-1023029.7331498376</v>
      </c>
      <c r="H53" s="34">
        <f>PMT($D$8,6,$D$24/3)</f>
        <v>-1023029.7331498376</v>
      </c>
      <c r="I53" s="34">
        <f t="shared" ref="I53:L53" si="13">PMT($D$8,6,$D$24/3)</f>
        <v>-1023029.7331498376</v>
      </c>
      <c r="J53" s="34">
        <f t="shared" si="13"/>
        <v>-1023029.7331498376</v>
      </c>
      <c r="K53" s="34">
        <f t="shared" si="13"/>
        <v>-1023029.7331498376</v>
      </c>
      <c r="L53" s="34">
        <f t="shared" si="13"/>
        <v>-1023029.7331498376</v>
      </c>
      <c r="M53" s="34"/>
      <c r="N53" s="34"/>
      <c r="O53" s="34"/>
      <c r="P53" s="34"/>
      <c r="Q53" s="34"/>
      <c r="R53" s="34"/>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-6084825.3942499645</v>
      </c>
      <c r="E54" s="34"/>
      <c r="F54" s="34"/>
      <c r="G54" s="34">
        <f>PPMT($D$8,G52,6,$D$24/3)</f>
        <v>-1007817.6696642126</v>
      </c>
      <c r="H54" s="34">
        <f>PPMT($D$8,H52,6,$D$24/3)</f>
        <v>-1010337.2138383732</v>
      </c>
      <c r="I54" s="34">
        <f t="shared" ref="I54:L54" si="14">PPMT($D$8,I52,6,$D$24/3)</f>
        <v>-1012863.0568729691</v>
      </c>
      <c r="J54" s="34">
        <f t="shared" si="14"/>
        <v>-1015395.2145151516</v>
      </c>
      <c r="K54" s="34">
        <f t="shared" si="14"/>
        <v>-1017933.7025514394</v>
      </c>
      <c r="L54" s="34">
        <f t="shared" si="14"/>
        <v>-1020478.5368078181</v>
      </c>
      <c r="M54" s="34"/>
      <c r="N54" s="34"/>
      <c r="O54" s="34"/>
      <c r="P54" s="34"/>
      <c r="Q54" s="34"/>
      <c r="R54" s="34"/>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-53353.004649061455</v>
      </c>
      <c r="E55" s="27"/>
      <c r="F55" s="27"/>
      <c r="G55" s="34">
        <f>IPMT($D$8,G52,6,$D$24/3)</f>
        <v>-15212.063485624911</v>
      </c>
      <c r="H55" s="34">
        <f t="shared" ref="H55:L55" si="15">IPMT($D$8,H52,6,$D$24/3)</f>
        <v>-12692.519311464381</v>
      </c>
      <c r="I55" s="34">
        <f t="shared" si="15"/>
        <v>-10166.676276868446</v>
      </c>
      <c r="J55" s="34">
        <f t="shared" si="15"/>
        <v>-7634.5186346860228</v>
      </c>
      <c r="K55" s="34">
        <f t="shared" si="15"/>
        <v>-5096.0305983981434</v>
      </c>
      <c r="L55" s="34">
        <f t="shared" si="15"/>
        <v>-2551.1963420195452</v>
      </c>
      <c r="M55" s="34"/>
      <c r="N55" s="34"/>
      <c r="O55" s="34"/>
      <c r="P55" s="34"/>
      <c r="Q55" s="34"/>
      <c r="R55" s="34"/>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18254476.182749894</v>
      </c>
      <c r="F56" s="27"/>
      <c r="G56" s="27">
        <f>$E$56+G54</f>
        <v>17246658.513085682</v>
      </c>
      <c r="H56" s="27">
        <f>G56+H54</f>
        <v>16236321.29924731</v>
      </c>
      <c r="I56" s="27">
        <f t="shared" ref="I56:L56" si="16">H56+I54</f>
        <v>15223458.24237434</v>
      </c>
      <c r="J56" s="27">
        <f t="shared" si="16"/>
        <v>14208063.027859189</v>
      </c>
      <c r="K56" s="27">
        <f t="shared" si="16"/>
        <v>13190129.325307749</v>
      </c>
      <c r="L56" s="27">
        <f t="shared" si="16"/>
        <v>12169650.788499931</v>
      </c>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-5007637.0942392098</v>
      </c>
      <c r="E57" s="27"/>
      <c r="F57" s="27"/>
      <c r="G57" s="27">
        <f>G53*G$29</f>
        <v>-869016.56336485001</v>
      </c>
      <c r="H57" s="27">
        <f>H53*H$29</f>
        <v>-854952.59320660133</v>
      </c>
      <c r="I57" s="27">
        <f t="shared" ref="I57:L57" si="17">I53*I$29</f>
        <v>-841116.23120330693</v>
      </c>
      <c r="J57" s="27">
        <f t="shared" si="17"/>
        <v>-827503.79379537294</v>
      </c>
      <c r="K57" s="27">
        <f t="shared" si="17"/>
        <v>-814111.65703711251</v>
      </c>
      <c r="L57" s="27">
        <f t="shared" si="17"/>
        <v>-800936.25563196652</v>
      </c>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-4963521.005432222</v>
      </c>
      <c r="E58" s="27"/>
      <c r="F58" s="27"/>
      <c r="G58" s="27">
        <f>G54*G$29</f>
        <v>-856094.61720472842</v>
      </c>
      <c r="H58" s="27">
        <f t="shared" ref="H58:L59" si="18">H54*H$29</f>
        <v>-844345.37237221724</v>
      </c>
      <c r="I58" s="27">
        <f t="shared" si="18"/>
        <v>-832757.37695228285</v>
      </c>
      <c r="J58" s="27">
        <f t="shared" si="18"/>
        <v>-821328.41791988129</v>
      </c>
      <c r="K58" s="27">
        <f t="shared" si="18"/>
        <v>-810056.31262204831</v>
      </c>
      <c r="L58" s="27">
        <f t="shared" si="18"/>
        <v>-798938.90836106392</v>
      </c>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-44116.088806988198</v>
      </c>
      <c r="E59" s="27"/>
      <c r="F59" s="27"/>
      <c r="G59" s="27">
        <f>G55*G$29</f>
        <v>-12921.946160121515</v>
      </c>
      <c r="H59" s="27">
        <f t="shared" si="18"/>
        <v>-10607.220834384076</v>
      </c>
      <c r="I59" s="27">
        <f t="shared" si="18"/>
        <v>-8358.8542510241841</v>
      </c>
      <c r="J59" s="27">
        <f t="shared" si="18"/>
        <v>-6175.375875491638</v>
      </c>
      <c r="K59" s="27">
        <f t="shared" si="18"/>
        <v>-4055.3444150641294</v>
      </c>
      <c r="L59" s="27">
        <f t="shared" si="18"/>
        <v>-1997.3472709026598</v>
      </c>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M61">
        <v>1</v>
      </c>
      <c r="N61">
        <v>2</v>
      </c>
      <c r="O61">
        <v>3</v>
      </c>
      <c r="P61">
        <v>4</v>
      </c>
      <c r="Q61">
        <v>5</v>
      </c>
      <c r="R61">
        <v>6</v>
      </c>
      <c r="S61">
        <v>7</v>
      </c>
      <c r="T61">
        <v>8</v>
      </c>
      <c r="U61">
        <v>9</v>
      </c>
      <c r="V61">
        <v>10</v>
      </c>
      <c r="W61">
        <v>11</v>
      </c>
      <c r="X61">
        <v>12</v>
      </c>
      <c r="Y61">
        <v>13</v>
      </c>
      <c r="Z61">
        <v>14</v>
      </c>
      <c r="AA61">
        <v>15</v>
      </c>
      <c r="AB61">
        <v>16</v>
      </c>
      <c r="AC61">
        <v>17</v>
      </c>
      <c r="AD61">
        <v>18</v>
      </c>
      <c r="AE61">
        <v>19</v>
      </c>
      <c r="AF61">
        <v>20</v>
      </c>
      <c r="AG61">
        <v>21</v>
      </c>
      <c r="AH61">
        <v>22</v>
      </c>
      <c r="AI61">
        <v>23</v>
      </c>
      <c r="AJ61">
        <v>24</v>
      </c>
      <c r="AK61">
        <v>25</v>
      </c>
      <c r="AL61">
        <v>26</v>
      </c>
      <c r="AM61">
        <v>27</v>
      </c>
      <c r="AN61">
        <v>28</v>
      </c>
      <c r="AO61">
        <v>29</v>
      </c>
      <c r="AP61">
        <v>30</v>
      </c>
      <c r="AQ61">
        <v>31</v>
      </c>
      <c r="AR61">
        <v>32</v>
      </c>
      <c r="AS61">
        <v>33</v>
      </c>
      <c r="AT61">
        <v>34</v>
      </c>
      <c r="AU61">
        <v>35</v>
      </c>
      <c r="AV61">
        <v>36</v>
      </c>
      <c r="AW61">
        <v>37</v>
      </c>
      <c r="AX61">
        <v>38</v>
      </c>
      <c r="AY61">
        <v>39</v>
      </c>
      <c r="AZ61">
        <v>40</v>
      </c>
      <c r="BA61">
        <v>41</v>
      </c>
      <c r="BB61">
        <v>42</v>
      </c>
      <c r="BC61">
        <v>43</v>
      </c>
    </row>
    <row r="62" spans="1:75">
      <c r="A62" s="41"/>
      <c r="B62" s="26" t="s">
        <v>28</v>
      </c>
      <c r="C62" s="27"/>
      <c r="D62" s="27">
        <f>SUM(E62:BU62)</f>
        <v>-19327183.469453871</v>
      </c>
      <c r="E62" s="34"/>
      <c r="F62" s="34"/>
      <c r="G62" s="34"/>
      <c r="H62" s="34"/>
      <c r="I62" s="34"/>
      <c r="J62" s="34"/>
      <c r="K62" s="34"/>
      <c r="L62" s="34"/>
      <c r="M62" s="34">
        <f>PMT($D$18,$D$22-$T$32,$E$65)</f>
        <v>-449469.38301055541</v>
      </c>
      <c r="N62" s="34">
        <f t="shared" ref="N62:BC62" si="19">PMT($D$18,$D$22-$T$32,$E$65)</f>
        <v>-449469.38301055541</v>
      </c>
      <c r="O62" s="34">
        <f t="shared" si="19"/>
        <v>-449469.38301055541</v>
      </c>
      <c r="P62" s="34">
        <f t="shared" si="19"/>
        <v>-449469.38301055541</v>
      </c>
      <c r="Q62" s="34">
        <f t="shared" si="19"/>
        <v>-449469.38301055541</v>
      </c>
      <c r="R62" s="34">
        <f t="shared" si="19"/>
        <v>-449469.38301055541</v>
      </c>
      <c r="S62" s="34">
        <f t="shared" si="19"/>
        <v>-449469.38301055541</v>
      </c>
      <c r="T62" s="34">
        <f t="shared" si="19"/>
        <v>-449469.38301055541</v>
      </c>
      <c r="U62" s="34">
        <f t="shared" si="19"/>
        <v>-449469.38301055541</v>
      </c>
      <c r="V62" s="34">
        <f t="shared" si="19"/>
        <v>-449469.38301055541</v>
      </c>
      <c r="W62" s="34">
        <f t="shared" si="19"/>
        <v>-449469.38301055541</v>
      </c>
      <c r="X62" s="34">
        <f t="shared" si="19"/>
        <v>-449469.38301055541</v>
      </c>
      <c r="Y62" s="34">
        <f t="shared" si="19"/>
        <v>-449469.38301055541</v>
      </c>
      <c r="Z62" s="34">
        <f t="shared" si="19"/>
        <v>-449469.38301055541</v>
      </c>
      <c r="AA62" s="34">
        <f t="shared" si="19"/>
        <v>-449469.38301055541</v>
      </c>
      <c r="AB62" s="34">
        <f t="shared" si="19"/>
        <v>-449469.38301055541</v>
      </c>
      <c r="AC62" s="34">
        <f t="shared" si="19"/>
        <v>-449469.38301055541</v>
      </c>
      <c r="AD62" s="34">
        <f t="shared" si="19"/>
        <v>-449469.38301055541</v>
      </c>
      <c r="AE62" s="34">
        <f t="shared" si="19"/>
        <v>-449469.38301055541</v>
      </c>
      <c r="AF62" s="34">
        <f t="shared" si="19"/>
        <v>-449469.38301055541</v>
      </c>
      <c r="AG62" s="34">
        <f t="shared" si="19"/>
        <v>-449469.38301055541</v>
      </c>
      <c r="AH62" s="34">
        <f t="shared" si="19"/>
        <v>-449469.38301055541</v>
      </c>
      <c r="AI62" s="34">
        <f t="shared" si="19"/>
        <v>-449469.38301055541</v>
      </c>
      <c r="AJ62" s="34">
        <f t="shared" si="19"/>
        <v>-449469.38301055541</v>
      </c>
      <c r="AK62" s="34">
        <f t="shared" si="19"/>
        <v>-449469.38301055541</v>
      </c>
      <c r="AL62" s="34">
        <f t="shared" si="19"/>
        <v>-449469.38301055541</v>
      </c>
      <c r="AM62" s="34">
        <f t="shared" si="19"/>
        <v>-449469.38301055541</v>
      </c>
      <c r="AN62" s="34">
        <f t="shared" si="19"/>
        <v>-449469.38301055541</v>
      </c>
      <c r="AO62" s="34">
        <f t="shared" si="19"/>
        <v>-449469.38301055541</v>
      </c>
      <c r="AP62" s="34">
        <f t="shared" si="19"/>
        <v>-449469.38301055541</v>
      </c>
      <c r="AQ62" s="34">
        <f t="shared" si="19"/>
        <v>-449469.38301055541</v>
      </c>
      <c r="AR62" s="34">
        <f t="shared" si="19"/>
        <v>-449469.38301055541</v>
      </c>
      <c r="AS62" s="34">
        <f t="shared" si="19"/>
        <v>-449469.38301055541</v>
      </c>
      <c r="AT62" s="34">
        <f t="shared" si="19"/>
        <v>-449469.38301055541</v>
      </c>
      <c r="AU62" s="34">
        <f t="shared" si="19"/>
        <v>-449469.38301055541</v>
      </c>
      <c r="AV62" s="34">
        <f t="shared" si="19"/>
        <v>-449469.38301055541</v>
      </c>
      <c r="AW62" s="34">
        <f t="shared" si="19"/>
        <v>-449469.38301055541</v>
      </c>
      <c r="AX62" s="34">
        <f t="shared" si="19"/>
        <v>-449469.38301055541</v>
      </c>
      <c r="AY62" s="34">
        <f t="shared" si="19"/>
        <v>-449469.38301055541</v>
      </c>
      <c r="AZ62" s="34">
        <f t="shared" si="19"/>
        <v>-449469.38301055541</v>
      </c>
      <c r="BA62" s="34">
        <f t="shared" si="19"/>
        <v>-449469.38301055541</v>
      </c>
      <c r="BB62" s="34">
        <f t="shared" si="19"/>
        <v>-449469.38301055541</v>
      </c>
      <c r="BC62" s="34">
        <f t="shared" si="19"/>
        <v>-449469.38301055541</v>
      </c>
      <c r="BD62" s="34"/>
      <c r="BE62" s="34"/>
      <c r="BF62" s="34"/>
      <c r="BG62" s="34"/>
      <c r="BH62" s="34"/>
      <c r="BI62" s="34"/>
      <c r="BJ62" s="34"/>
      <c r="BK62" s="34"/>
      <c r="BL62" s="34"/>
      <c r="BM62" s="34"/>
      <c r="BN62" s="34"/>
      <c r="BO62" s="34"/>
    </row>
    <row r="63" spans="1:75">
      <c r="A63" s="41"/>
      <c r="B63" s="27"/>
      <c r="C63" s="27" t="s">
        <v>29</v>
      </c>
      <c r="D63" s="27">
        <f>SUM(E63:BU63)</f>
        <v>-12169650.788499933</v>
      </c>
      <c r="E63" s="34"/>
      <c r="F63" s="34"/>
      <c r="G63" s="34"/>
      <c r="H63" s="34"/>
      <c r="I63" s="34"/>
      <c r="J63" s="34"/>
      <c r="K63" s="34"/>
      <c r="L63" s="34"/>
      <c r="M63" s="34">
        <f>PPMT($D$18, M61, $D$23,$E$65)</f>
        <v>-203533.13497648187</v>
      </c>
      <c r="N63" s="34">
        <f t="shared" ref="N63:BC63" si="20">PPMT($D$18, N61, $D$23,$E$65)</f>
        <v>-206586.1320011291</v>
      </c>
      <c r="O63" s="34">
        <f t="shared" si="20"/>
        <v>-209684.92398114601</v>
      </c>
      <c r="P63" s="34">
        <f t="shared" si="20"/>
        <v>-212830.19784086326</v>
      </c>
      <c r="Q63" s="34">
        <f t="shared" si="20"/>
        <v>-216022.65080847617</v>
      </c>
      <c r="R63" s="34">
        <f t="shared" si="20"/>
        <v>-219262.99057060332</v>
      </c>
      <c r="S63" s="34">
        <f t="shared" si="20"/>
        <v>-222551.93542916235</v>
      </c>
      <c r="T63" s="34">
        <f t="shared" si="20"/>
        <v>-225890.21446059982</v>
      </c>
      <c r="U63" s="34">
        <f t="shared" si="20"/>
        <v>-229278.56767750881</v>
      </c>
      <c r="V63" s="34">
        <f t="shared" si="20"/>
        <v>-232717.74619267142</v>
      </c>
      <c r="W63" s="34">
        <f t="shared" si="20"/>
        <v>-236208.51238556151</v>
      </c>
      <c r="X63" s="34">
        <f t="shared" si="20"/>
        <v>-239751.64007134491</v>
      </c>
      <c r="Y63" s="34">
        <f t="shared" si="20"/>
        <v>-243347.91467241512</v>
      </c>
      <c r="Z63" s="34">
        <f t="shared" si="20"/>
        <v>-246998.1333925013</v>
      </c>
      <c r="AA63" s="34">
        <f t="shared" si="20"/>
        <v>-250703.10539338886</v>
      </c>
      <c r="AB63" s="34">
        <f t="shared" si="20"/>
        <v>-254463.65197428965</v>
      </c>
      <c r="AC63" s="34">
        <f t="shared" si="20"/>
        <v>-258280.60675390402</v>
      </c>
      <c r="AD63" s="34">
        <f t="shared" si="20"/>
        <v>-262154.81585521263</v>
      </c>
      <c r="AE63" s="34">
        <f t="shared" si="20"/>
        <v>-266087.13809304079</v>
      </c>
      <c r="AF63" s="34">
        <f t="shared" si="20"/>
        <v>-270078.44516443642</v>
      </c>
      <c r="AG63" s="34">
        <f t="shared" si="20"/>
        <v>-274129.6218419029</v>
      </c>
      <c r="AH63" s="34">
        <f t="shared" si="20"/>
        <v>-278241.56616953149</v>
      </c>
      <c r="AI63" s="34">
        <f t="shared" si="20"/>
        <v>-282415.1896620745</v>
      </c>
      <c r="AJ63" s="34">
        <f t="shared" si="20"/>
        <v>-286651.41750700556</v>
      </c>
      <c r="AK63" s="34">
        <f t="shared" si="20"/>
        <v>-290951.18876961066</v>
      </c>
      <c r="AL63" s="34">
        <f t="shared" si="20"/>
        <v>-295315.45660115482</v>
      </c>
      <c r="AM63" s="34">
        <f t="shared" si="20"/>
        <v>-299745.18845017214</v>
      </c>
      <c r="AN63" s="34">
        <f t="shared" si="20"/>
        <v>-304241.36627692473</v>
      </c>
      <c r="AO63" s="34">
        <f t="shared" si="20"/>
        <v>-308804.98677107861</v>
      </c>
      <c r="AP63" s="34">
        <f t="shared" si="20"/>
        <v>-313437.0615726448</v>
      </c>
      <c r="AQ63" s="34">
        <f t="shared" si="20"/>
        <v>-318138.61749623448</v>
      </c>
      <c r="AR63" s="34">
        <f t="shared" si="20"/>
        <v>-322910.69675867795</v>
      </c>
      <c r="AS63" s="34">
        <f t="shared" si="20"/>
        <v>-327754.35721005814</v>
      </c>
      <c r="AT63" s="34">
        <f t="shared" si="20"/>
        <v>-332670.672568209</v>
      </c>
      <c r="AU63" s="34">
        <f t="shared" si="20"/>
        <v>-337660.73265673214</v>
      </c>
      <c r="AV63" s="34">
        <f t="shared" si="20"/>
        <v>-342725.64364658314</v>
      </c>
      <c r="AW63" s="34">
        <f t="shared" si="20"/>
        <v>-347866.52830128185</v>
      </c>
      <c r="AX63" s="34">
        <f t="shared" si="20"/>
        <v>-353084.52622580103</v>
      </c>
      <c r="AY63" s="34">
        <f t="shared" si="20"/>
        <v>-358380.79411918815</v>
      </c>
      <c r="AZ63" s="34">
        <f t="shared" si="20"/>
        <v>-363756.5060309759</v>
      </c>
      <c r="BA63" s="34">
        <f t="shared" si="20"/>
        <v>-369212.85362144059</v>
      </c>
      <c r="BB63" s="34">
        <f t="shared" si="20"/>
        <v>-374751.04642576218</v>
      </c>
      <c r="BC63" s="34">
        <f t="shared" si="20"/>
        <v>-380372.31212214864</v>
      </c>
      <c r="BD63" s="34"/>
      <c r="BE63" s="34"/>
      <c r="BF63" s="34"/>
      <c r="BG63" s="34"/>
      <c r="BH63" s="34"/>
      <c r="BI63" s="34"/>
      <c r="BJ63" s="34"/>
      <c r="BK63" s="34"/>
      <c r="BL63" s="34"/>
      <c r="BM63" s="34"/>
      <c r="BN63" s="34"/>
      <c r="BO63" s="34"/>
    </row>
    <row r="64" spans="1:75">
      <c r="A64" s="41"/>
      <c r="B64" s="27"/>
      <c r="C64" s="27" t="s">
        <v>30</v>
      </c>
      <c r="D64" s="27">
        <f>SUM(E64:BU64)</f>
        <v>-4431698.7740712464</v>
      </c>
      <c r="E64" s="27"/>
      <c r="F64" s="27"/>
      <c r="G64" s="27"/>
      <c r="H64" s="27"/>
      <c r="I64" s="27"/>
      <c r="J64" s="27"/>
      <c r="K64" s="27"/>
      <c r="L64" s="27"/>
      <c r="M64" s="34">
        <f t="shared" ref="M64:BC64" si="21">IPMT($D$18, M61, $D$23,$E$65)</f>
        <v>-182544.76182749894</v>
      </c>
      <c r="N64" s="34">
        <f t="shared" si="21"/>
        <v>-179491.76480285171</v>
      </c>
      <c r="O64" s="34">
        <f t="shared" si="21"/>
        <v>-176392.97282283474</v>
      </c>
      <c r="P64" s="34">
        <f t="shared" si="21"/>
        <v>-173247.69896311758</v>
      </c>
      <c r="Q64" s="34">
        <f t="shared" si="21"/>
        <v>-170055.24599550464</v>
      </c>
      <c r="R64" s="34">
        <f t="shared" si="21"/>
        <v>-166814.90623337749</v>
      </c>
      <c r="S64" s="34">
        <f t="shared" si="21"/>
        <v>-163525.96137481846</v>
      </c>
      <c r="T64" s="34">
        <f t="shared" si="21"/>
        <v>-160187.68234338102</v>
      </c>
      <c r="U64" s="34">
        <f t="shared" si="21"/>
        <v>-156799.329126472</v>
      </c>
      <c r="V64" s="34">
        <f t="shared" si="21"/>
        <v>-153360.15061130939</v>
      </c>
      <c r="W64" s="34">
        <f t="shared" si="21"/>
        <v>-149869.3844184193</v>
      </c>
      <c r="X64" s="34">
        <f t="shared" si="21"/>
        <v>-146326.2567326359</v>
      </c>
      <c r="Y64" s="34">
        <f t="shared" si="21"/>
        <v>-142729.98213156572</v>
      </c>
      <c r="Z64" s="34">
        <f t="shared" si="21"/>
        <v>-139079.76341147948</v>
      </c>
      <c r="AA64" s="34">
        <f t="shared" si="21"/>
        <v>-135374.79141059195</v>
      </c>
      <c r="AB64" s="34">
        <f t="shared" si="21"/>
        <v>-131614.24482969116</v>
      </c>
      <c r="AC64" s="34">
        <f t="shared" si="21"/>
        <v>-127797.29005007679</v>
      </c>
      <c r="AD64" s="34">
        <f t="shared" si="21"/>
        <v>-123923.08094876824</v>
      </c>
      <c r="AE64" s="34">
        <f t="shared" si="21"/>
        <v>-119990.75871094003</v>
      </c>
      <c r="AF64" s="34">
        <f t="shared" si="21"/>
        <v>-115999.45163954445</v>
      </c>
      <c r="AG64" s="34">
        <f t="shared" si="21"/>
        <v>-111948.27496207789</v>
      </c>
      <c r="AH64" s="34">
        <f t="shared" si="21"/>
        <v>-107836.33063444935</v>
      </c>
      <c r="AI64" s="34">
        <f t="shared" si="21"/>
        <v>-103662.70714190636</v>
      </c>
      <c r="AJ64" s="34">
        <f t="shared" si="21"/>
        <v>-99426.47929697526</v>
      </c>
      <c r="AK64" s="34">
        <f t="shared" si="21"/>
        <v>-95126.708034370182</v>
      </c>
      <c r="AL64" s="34">
        <f t="shared" si="21"/>
        <v>-90762.440202826023</v>
      </c>
      <c r="AM64" s="34">
        <f t="shared" si="21"/>
        <v>-86332.708353808703</v>
      </c>
      <c r="AN64" s="34">
        <f t="shared" si="21"/>
        <v>-81836.530527056108</v>
      </c>
      <c r="AO64" s="34">
        <f t="shared" si="21"/>
        <v>-77272.910032902248</v>
      </c>
      <c r="AP64" s="34">
        <f t="shared" si="21"/>
        <v>-72640.835231336081</v>
      </c>
      <c r="AQ64" s="34">
        <f t="shared" si="21"/>
        <v>-67939.279307746372</v>
      </c>
      <c r="AR64" s="34">
        <f t="shared" si="21"/>
        <v>-63167.200045302874</v>
      </c>
      <c r="AS64" s="34">
        <f t="shared" si="21"/>
        <v>-58323.539593922702</v>
      </c>
      <c r="AT64" s="34">
        <f t="shared" si="21"/>
        <v>-53407.224235771828</v>
      </c>
      <c r="AU64" s="34">
        <f t="shared" si="21"/>
        <v>-48417.164147248703</v>
      </c>
      <c r="AV64" s="34">
        <f t="shared" si="21"/>
        <v>-43352.253157397718</v>
      </c>
      <c r="AW64" s="34">
        <f t="shared" si="21"/>
        <v>-38211.36850269897</v>
      </c>
      <c r="AX64" s="34">
        <f t="shared" si="21"/>
        <v>-32993.37057817974</v>
      </c>
      <c r="AY64" s="34">
        <f t="shared" si="21"/>
        <v>-27697.102684792724</v>
      </c>
      <c r="AZ64" s="34">
        <f t="shared" si="21"/>
        <v>-22321.390773004907</v>
      </c>
      <c r="BA64" s="34">
        <f t="shared" si="21"/>
        <v>-16865.04318254027</v>
      </c>
      <c r="BB64" s="34">
        <f t="shared" si="21"/>
        <v>-11326.850378218662</v>
      </c>
      <c r="BC64" s="34">
        <f t="shared" si="21"/>
        <v>-5705.5846818322289</v>
      </c>
      <c r="BD64" s="34"/>
      <c r="BE64" s="34"/>
      <c r="BF64" s="34"/>
      <c r="BG64" s="34"/>
      <c r="BH64" s="34"/>
      <c r="BI64" s="34"/>
      <c r="BJ64" s="34"/>
      <c r="BK64" s="34"/>
      <c r="BL64" s="34"/>
      <c r="BM64" s="34"/>
      <c r="BN64" s="34"/>
      <c r="BO64" s="34"/>
    </row>
    <row r="65" spans="1:67">
      <c r="A65" s="41"/>
      <c r="B65" s="33" t="s">
        <v>31</v>
      </c>
      <c r="C65" s="42"/>
      <c r="D65" s="27"/>
      <c r="E65" s="27">
        <f>D24-D24/3</f>
        <v>12169650.788499929</v>
      </c>
      <c r="F65" s="27"/>
      <c r="G65" s="27"/>
      <c r="H65" s="27"/>
      <c r="I65" s="27"/>
      <c r="J65" s="27"/>
      <c r="K65" s="27"/>
      <c r="L65" s="27"/>
      <c r="M65" s="27">
        <f>E65+M63</f>
        <v>11966117.653523447</v>
      </c>
      <c r="N65" s="27">
        <f>M65+N63</f>
        <v>11759531.521522317</v>
      </c>
      <c r="O65" s="27">
        <f t="shared" ref="O65:BC65" si="22">N65+O63</f>
        <v>11549846.59754117</v>
      </c>
      <c r="P65" s="27">
        <f t="shared" si="22"/>
        <v>11337016.399700306</v>
      </c>
      <c r="Q65" s="27">
        <f t="shared" si="22"/>
        <v>11120993.74889183</v>
      </c>
      <c r="R65" s="27">
        <f t="shared" si="22"/>
        <v>10901730.758321228</v>
      </c>
      <c r="S65" s="27">
        <f t="shared" si="22"/>
        <v>10679178.822892066</v>
      </c>
      <c r="T65" s="27">
        <f t="shared" si="22"/>
        <v>10453288.608431466</v>
      </c>
      <c r="U65" s="27">
        <f t="shared" si="22"/>
        <v>10224010.040753957</v>
      </c>
      <c r="V65" s="27">
        <f t="shared" si="22"/>
        <v>9991292.2945612855</v>
      </c>
      <c r="W65" s="27">
        <f t="shared" si="22"/>
        <v>9755083.7821757235</v>
      </c>
      <c r="X65" s="27">
        <f t="shared" si="22"/>
        <v>9515332.142104378</v>
      </c>
      <c r="Y65" s="27">
        <f t="shared" si="22"/>
        <v>9271984.2274319623</v>
      </c>
      <c r="Z65" s="27">
        <f t="shared" si="22"/>
        <v>9024986.0940394606</v>
      </c>
      <c r="AA65" s="27">
        <f t="shared" si="22"/>
        <v>8774282.9886460714</v>
      </c>
      <c r="AB65" s="27">
        <f t="shared" si="22"/>
        <v>8519819.3366717827</v>
      </c>
      <c r="AC65" s="27">
        <f t="shared" si="22"/>
        <v>8261538.7299178783</v>
      </c>
      <c r="AD65" s="27">
        <f t="shared" si="22"/>
        <v>7999383.9140626658</v>
      </c>
      <c r="AE65" s="27">
        <f t="shared" si="22"/>
        <v>7733296.7759696245</v>
      </c>
      <c r="AF65" s="27">
        <f t="shared" si="22"/>
        <v>7463218.330805188</v>
      </c>
      <c r="AG65" s="27">
        <f t="shared" si="22"/>
        <v>7189088.7089632852</v>
      </c>
      <c r="AH65" s="27">
        <f t="shared" si="22"/>
        <v>6910847.1427937541</v>
      </c>
      <c r="AI65" s="27">
        <f t="shared" si="22"/>
        <v>6628431.9531316794</v>
      </c>
      <c r="AJ65" s="27">
        <f t="shared" si="22"/>
        <v>6341780.5356246736</v>
      </c>
      <c r="AK65" s="27">
        <f t="shared" si="22"/>
        <v>6050829.346855063</v>
      </c>
      <c r="AL65" s="27">
        <f t="shared" si="22"/>
        <v>5755513.890253908</v>
      </c>
      <c r="AM65" s="27">
        <f t="shared" si="22"/>
        <v>5455768.7018037355</v>
      </c>
      <c r="AN65" s="27">
        <f t="shared" si="22"/>
        <v>5151527.335526811</v>
      </c>
      <c r="AO65" s="27">
        <f t="shared" si="22"/>
        <v>4842722.3487557322</v>
      </c>
      <c r="AP65" s="27">
        <f t="shared" si="22"/>
        <v>4529285.2871830873</v>
      </c>
      <c r="AQ65" s="27">
        <f t="shared" si="22"/>
        <v>4211146.669686853</v>
      </c>
      <c r="AR65" s="27">
        <f t="shared" si="22"/>
        <v>3888235.9729281748</v>
      </c>
      <c r="AS65" s="27">
        <f t="shared" si="22"/>
        <v>3560481.6157181165</v>
      </c>
      <c r="AT65" s="27">
        <f t="shared" si="22"/>
        <v>3227810.9431499075</v>
      </c>
      <c r="AU65" s="27">
        <f t="shared" si="22"/>
        <v>2890150.2104931753</v>
      </c>
      <c r="AV65" s="27">
        <f t="shared" si="22"/>
        <v>2547424.5668465924</v>
      </c>
      <c r="AW65" s="27">
        <f t="shared" si="22"/>
        <v>2199558.0385453105</v>
      </c>
      <c r="AX65" s="27">
        <f t="shared" si="22"/>
        <v>1846473.5123195094</v>
      </c>
      <c r="AY65" s="27">
        <f t="shared" si="22"/>
        <v>1488092.7182003213</v>
      </c>
      <c r="AZ65" s="27">
        <f t="shared" si="22"/>
        <v>1124336.2121693455</v>
      </c>
      <c r="BA65" s="27">
        <f t="shared" si="22"/>
        <v>755123.35854790488</v>
      </c>
      <c r="BB65" s="27">
        <f t="shared" si="22"/>
        <v>380372.3121221427</v>
      </c>
      <c r="BC65" s="27">
        <f t="shared" si="22"/>
        <v>-5.9371814131736755E-9</v>
      </c>
      <c r="BD65" s="27"/>
      <c r="BE65" s="27"/>
      <c r="BF65" s="27"/>
      <c r="BG65" s="27"/>
      <c r="BH65" s="27"/>
      <c r="BI65" s="27"/>
      <c r="BJ65" s="27"/>
      <c r="BK65" s="27"/>
      <c r="BL65" s="27"/>
      <c r="BM65" s="27"/>
      <c r="BN65" s="27"/>
      <c r="BO65" s="27"/>
    </row>
    <row r="66" spans="1:67" ht="21">
      <c r="A66" s="43"/>
      <c r="B66" s="26" t="s">
        <v>32</v>
      </c>
      <c r="C66" s="27"/>
      <c r="D66" s="27">
        <f>SUM(E66:BU66)</f>
        <v>-10785792.253275108</v>
      </c>
      <c r="E66" s="27"/>
      <c r="F66" s="27"/>
      <c r="G66" s="27"/>
      <c r="H66" s="27"/>
      <c r="I66" s="27"/>
      <c r="J66" s="27"/>
      <c r="K66" s="27"/>
      <c r="L66" s="27"/>
      <c r="M66" s="27">
        <f>M62*M29</f>
        <v>-346197.39092713885</v>
      </c>
      <c r="N66" s="27">
        <f t="shared" ref="N66:BC66" si="23">N62*N29</f>
        <v>-340594.60959923145</v>
      </c>
      <c r="O66" s="27">
        <f t="shared" si="23"/>
        <v>-335082.50243418897</v>
      </c>
      <c r="P66" s="27">
        <f t="shared" si="23"/>
        <v>-329659.60198159178</v>
      </c>
      <c r="Q66" s="27">
        <f t="shared" si="23"/>
        <v>-324324.4645399102</v>
      </c>
      <c r="R66" s="27">
        <f t="shared" si="23"/>
        <v>-319075.6697721582</v>
      </c>
      <c r="S66" s="27">
        <f t="shared" si="23"/>
        <v>-313911.82032776641</v>
      </c>
      <c r="T66" s="27">
        <f t="shared" si="23"/>
        <v>-308831.54147057544</v>
      </c>
      <c r="U66" s="27">
        <f t="shared" si="23"/>
        <v>-303833.48071284901</v>
      </c>
      <c r="V66" s="27">
        <f t="shared" si="23"/>
        <v>-298916.30745521083</v>
      </c>
      <c r="W66" s="27">
        <f t="shared" si="23"/>
        <v>-294078.71263240761</v>
      </c>
      <c r="X66" s="27">
        <f t="shared" si="23"/>
        <v>-289319.4083648065</v>
      </c>
      <c r="Y66" s="27">
        <f t="shared" si="23"/>
        <v>-284637.12761553103</v>
      </c>
      <c r="Z66" s="27">
        <f t="shared" si="23"/>
        <v>-280030.62385314674</v>
      </c>
      <c r="AA66" s="27">
        <f t="shared" si="23"/>
        <v>-275498.67071980593</v>
      </c>
      <c r="AB66" s="27">
        <f t="shared" si="23"/>
        <v>-271040.06170476251</v>
      </c>
      <c r="AC66" s="27">
        <f t="shared" si="23"/>
        <v>-266653.60982317134</v>
      </c>
      <c r="AD66" s="27">
        <f t="shared" si="23"/>
        <v>-262338.14730008494</v>
      </c>
      <c r="AE66" s="27">
        <f t="shared" si="23"/>
        <v>-258092.52525956498</v>
      </c>
      <c r="AF66" s="27">
        <f t="shared" si="23"/>
        <v>-253915.61341882529</v>
      </c>
      <c r="AG66" s="27">
        <f t="shared" si="23"/>
        <v>-249806.29978732378</v>
      </c>
      <c r="AH66" s="27">
        <f t="shared" si="23"/>
        <v>-245763.49037072534</v>
      </c>
      <c r="AI66" s="27">
        <f t="shared" si="23"/>
        <v>-241786.10887965502</v>
      </c>
      <c r="AJ66" s="27">
        <f t="shared" si="23"/>
        <v>-237873.09644316492</v>
      </c>
      <c r="AK66" s="27">
        <f t="shared" si="23"/>
        <v>-234023.4113268384</v>
      </c>
      <c r="AL66" s="27">
        <f t="shared" si="23"/>
        <v>-230236.0286554562</v>
      </c>
      <c r="AM66" s="27">
        <f t="shared" si="23"/>
        <v>-226509.9401401506</v>
      </c>
      <c r="AN66" s="27">
        <f t="shared" si="23"/>
        <v>-222844.15380997647</v>
      </c>
      <c r="AO66" s="27">
        <f t="shared" si="23"/>
        <v>-219237.69374782476</v>
      </c>
      <c r="AP66" s="27">
        <f t="shared" si="23"/>
        <v>-215689.59983061117</v>
      </c>
      <c r="AQ66" s="27">
        <f t="shared" si="23"/>
        <v>-212198.92747366932</v>
      </c>
      <c r="AR66" s="27">
        <f t="shared" si="23"/>
        <v>-208764.74737928013</v>
      </c>
      <c r="AS66" s="27">
        <f t="shared" si="23"/>
        <v>-205386.1452892716</v>
      </c>
      <c r="AT66" s="27">
        <f t="shared" si="23"/>
        <v>-202062.22174162191</v>
      </c>
      <c r="AU66" s="27">
        <f t="shared" si="23"/>
        <v>-198792.09183100189</v>
      </c>
      <c r="AV66" s="27">
        <f t="shared" si="23"/>
        <v>-195574.88497319282</v>
      </c>
      <c r="AW66" s="27">
        <f t="shared" si="23"/>
        <v>-192409.74467331677</v>
      </c>
      <c r="AX66" s="27">
        <f t="shared" si="23"/>
        <v>-189295.82829781761</v>
      </c>
      <c r="AY66" s="27">
        <f t="shared" si="23"/>
        <v>-186232.30685013294</v>
      </c>
      <c r="AZ66" s="27">
        <f t="shared" si="23"/>
        <v>-183218.3647499955</v>
      </c>
      <c r="BA66" s="27">
        <f t="shared" si="23"/>
        <v>-180253.19961630725</v>
      </c>
      <c r="BB66" s="27">
        <f t="shared" si="23"/>
        <v>-177336.02205352671</v>
      </c>
      <c r="BC66" s="27">
        <f t="shared" si="23"/>
        <v>-174466.05544151374</v>
      </c>
      <c r="BD66" s="27"/>
      <c r="BE66" s="27"/>
      <c r="BF66" s="27"/>
      <c r="BG66" s="27"/>
      <c r="BH66" s="27"/>
      <c r="BI66" s="27"/>
      <c r="BJ66" s="27"/>
      <c r="BK66" s="27"/>
      <c r="BL66" s="27"/>
      <c r="BM66" s="27"/>
      <c r="BN66" s="27"/>
      <c r="BO66" s="27"/>
    </row>
    <row r="67" spans="1:67">
      <c r="A67" s="27"/>
      <c r="B67" s="27"/>
      <c r="C67" s="27" t="s">
        <v>29</v>
      </c>
      <c r="D67" s="27">
        <f>SUM(E67:BU67)</f>
        <v>-6542984.0877472423</v>
      </c>
      <c r="E67" s="27"/>
      <c r="F67" s="27"/>
      <c r="G67" s="27"/>
      <c r="H67" s="27"/>
      <c r="I67" s="27"/>
      <c r="J67" s="27"/>
      <c r="K67" s="27"/>
      <c r="L67" s="27"/>
      <c r="M67" s="27">
        <f>M63*M29</f>
        <v>-156768.49849953954</v>
      </c>
      <c r="N67" s="27">
        <f t="shared" ref="N67:BC67" si="24">N63*N29</f>
        <v>-156544.86298099524</v>
      </c>
      <c r="O67" s="27">
        <f t="shared" si="24"/>
        <v>-156321.54648601514</v>
      </c>
      <c r="P67" s="27">
        <f t="shared" si="24"/>
        <v>-156098.54855950162</v>
      </c>
      <c r="Q67" s="27">
        <f t="shared" si="24"/>
        <v>-155875.86874700585</v>
      </c>
      <c r="R67" s="27">
        <f t="shared" si="24"/>
        <v>-155653.50659472766</v>
      </c>
      <c r="S67" s="27">
        <f t="shared" si="24"/>
        <v>-155431.46164951404</v>
      </c>
      <c r="T67" s="27">
        <f t="shared" si="24"/>
        <v>-155209.73345885854</v>
      </c>
      <c r="U67" s="27">
        <f t="shared" si="24"/>
        <v>-154988.32157090009</v>
      </c>
      <c r="V67" s="27">
        <f t="shared" si="24"/>
        <v>-154767.22553442235</v>
      </c>
      <c r="W67" s="27">
        <f t="shared" si="24"/>
        <v>-154546.44489885253</v>
      </c>
      <c r="X67" s="27">
        <f t="shared" si="24"/>
        <v>-154325.97921426067</v>
      </c>
      <c r="Y67" s="27">
        <f t="shared" si="24"/>
        <v>-154105.82803135875</v>
      </c>
      <c r="Z67" s="27">
        <f t="shared" si="24"/>
        <v>-153885.99090149943</v>
      </c>
      <c r="AA67" s="27">
        <f t="shared" si="24"/>
        <v>-153666.46737667563</v>
      </c>
      <c r="AB67" s="27">
        <f t="shared" si="24"/>
        <v>-153447.25700951912</v>
      </c>
      <c r="AC67" s="27">
        <f t="shared" si="24"/>
        <v>-153228.35935330013</v>
      </c>
      <c r="AD67" s="27">
        <f t="shared" si="24"/>
        <v>-153009.77396192597</v>
      </c>
      <c r="AE67" s="27">
        <f t="shared" si="24"/>
        <v>-152791.50038994025</v>
      </c>
      <c r="AF67" s="27">
        <f t="shared" si="24"/>
        <v>-152573.53819252236</v>
      </c>
      <c r="AG67" s="27">
        <f t="shared" si="24"/>
        <v>-152355.88692548592</v>
      </c>
      <c r="AH67" s="27">
        <f t="shared" si="24"/>
        <v>-152138.54614527841</v>
      </c>
      <c r="AI67" s="27">
        <f t="shared" si="24"/>
        <v>-151921.51540897985</v>
      </c>
      <c r="AJ67" s="27">
        <f t="shared" si="24"/>
        <v>-151704.79427430226</v>
      </c>
      <c r="AK67" s="27">
        <f t="shared" si="24"/>
        <v>-151488.38229958853</v>
      </c>
      <c r="AL67" s="27">
        <f t="shared" si="24"/>
        <v>-151272.27904381169</v>
      </c>
      <c r="AM67" s="27">
        <f t="shared" si="24"/>
        <v>-151056.48406657364</v>
      </c>
      <c r="AN67" s="27">
        <f t="shared" si="24"/>
        <v>-150840.99692810493</v>
      </c>
      <c r="AO67" s="27">
        <f t="shared" si="24"/>
        <v>-150625.81718926312</v>
      </c>
      <c r="AP67" s="27">
        <f t="shared" si="24"/>
        <v>-150410.94441153234</v>
      </c>
      <c r="AQ67" s="27">
        <f t="shared" si="24"/>
        <v>-150196.37815702232</v>
      </c>
      <c r="AR67" s="27">
        <f t="shared" si="24"/>
        <v>-149982.11798846733</v>
      </c>
      <c r="AS67" s="27">
        <f t="shared" si="24"/>
        <v>-149768.16346922558</v>
      </c>
      <c r="AT67" s="27">
        <f t="shared" si="24"/>
        <v>-149554.51416327801</v>
      </c>
      <c r="AU67" s="27">
        <f t="shared" si="24"/>
        <v>-149341.16963522768</v>
      </c>
      <c r="AV67" s="27">
        <f t="shared" si="24"/>
        <v>-149128.12945029864</v>
      </c>
      <c r="AW67" s="27">
        <f t="shared" si="24"/>
        <v>-148915.3931743353</v>
      </c>
      <c r="AX67" s="27">
        <f t="shared" si="24"/>
        <v>-148702.96037380124</v>
      </c>
      <c r="AY67" s="27">
        <f t="shared" si="24"/>
        <v>-148490.83061577877</v>
      </c>
      <c r="AZ67" s="27">
        <f t="shared" si="24"/>
        <v>-148279.00346796733</v>
      </c>
      <c r="BA67" s="27">
        <f t="shared" si="24"/>
        <v>-148067.47849868351</v>
      </c>
      <c r="BB67" s="27">
        <f t="shared" si="24"/>
        <v>-147856.25527685942</v>
      </c>
      <c r="BC67" s="27">
        <f t="shared" si="24"/>
        <v>-147645.33337204214</v>
      </c>
      <c r="BD67" s="27"/>
      <c r="BE67" s="27"/>
      <c r="BF67" s="27"/>
      <c r="BG67" s="27"/>
      <c r="BH67" s="27"/>
      <c r="BI67" s="27"/>
      <c r="BJ67" s="27"/>
      <c r="BK67" s="27"/>
      <c r="BL67" s="27"/>
      <c r="BM67" s="27"/>
      <c r="BN67" s="27"/>
      <c r="BO67" s="27"/>
    </row>
    <row r="68" spans="1:67">
      <c r="A68" s="27"/>
      <c r="B68" s="27"/>
      <c r="C68" s="27" t="s">
        <v>30</v>
      </c>
      <c r="D68" s="27">
        <f>SUM(E68:BU68)</f>
        <v>-2721620.2343926029</v>
      </c>
      <c r="E68" s="27"/>
      <c r="F68" s="27"/>
      <c r="G68" s="27"/>
      <c r="H68" s="27"/>
      <c r="I68" s="27"/>
      <c r="J68" s="27"/>
      <c r="K68" s="27"/>
      <c r="L68" s="27"/>
      <c r="M68" s="27">
        <f>M64*M29</f>
        <v>-140602.50299765577</v>
      </c>
      <c r="N68" s="27">
        <f t="shared" ref="N68:BC68" si="25">N64*N29</f>
        <v>-136013.55258021806</v>
      </c>
      <c r="O68" s="27">
        <f t="shared" si="25"/>
        <v>-131502.16895617402</v>
      </c>
      <c r="P68" s="27">
        <f t="shared" si="25"/>
        <v>-127067.09209393853</v>
      </c>
      <c r="Q68" s="27">
        <f t="shared" si="25"/>
        <v>-122707.08236071227</v>
      </c>
      <c r="R68" s="27">
        <f t="shared" si="25"/>
        <v>-118420.92019234312</v>
      </c>
      <c r="S68" s="27">
        <f t="shared" si="25"/>
        <v>-114207.4057685299</v>
      </c>
      <c r="T68" s="27">
        <f t="shared" si="25"/>
        <v>-110065.35869328269</v>
      </c>
      <c r="U68" s="27">
        <f t="shared" si="25"/>
        <v>-105993.61768055466</v>
      </c>
      <c r="V68" s="27">
        <f t="shared" si="25"/>
        <v>-101991.04024496155</v>
      </c>
      <c r="W68" s="27">
        <f t="shared" si="25"/>
        <v>-98056.502397506192</v>
      </c>
      <c r="X68" s="27">
        <f t="shared" si="25"/>
        <v>-94188.898346227958</v>
      </c>
      <c r="Y68" s="27">
        <f t="shared" si="25"/>
        <v>-90387.140201696137</v>
      </c>
      <c r="Z68" s="27">
        <f t="shared" si="25"/>
        <v>-86650.157687270141</v>
      </c>
      <c r="AA68" s="27">
        <f t="shared" si="25"/>
        <v>-82976.897854048555</v>
      </c>
      <c r="AB68" s="27">
        <f t="shared" si="25"/>
        <v>-79366.324800431335</v>
      </c>
      <c r="AC68" s="27">
        <f t="shared" si="25"/>
        <v>-75817.419396220692</v>
      </c>
      <c r="AD68" s="27">
        <f t="shared" si="25"/>
        <v>-72329.179011187181</v>
      </c>
      <c r="AE68" s="27">
        <f t="shared" si="25"/>
        <v>-68900.617248028182</v>
      </c>
      <c r="AF68" s="27">
        <f t="shared" si="25"/>
        <v>-65530.763679648866</v>
      </c>
      <c r="AG68" s="27">
        <f t="shared" si="25"/>
        <v>-62218.663590694094</v>
      </c>
      <c r="AH68" s="27">
        <f t="shared" si="25"/>
        <v>-58963.377723264108</v>
      </c>
      <c r="AI68" s="27">
        <f t="shared" si="25"/>
        <v>-55763.982026744969</v>
      </c>
      <c r="AJ68" s="27">
        <f t="shared" si="25"/>
        <v>-52619.567411688004</v>
      </c>
      <c r="AK68" s="27">
        <f t="shared" si="25"/>
        <v>-49529.239507672261</v>
      </c>
      <c r="AL68" s="27">
        <f t="shared" si="25"/>
        <v>-46492.118425085784</v>
      </c>
      <c r="AM68" s="27">
        <f t="shared" si="25"/>
        <v>-43507.338520762052</v>
      </c>
      <c r="AN68" s="27">
        <f t="shared" si="25"/>
        <v>-40574.04816740955</v>
      </c>
      <c r="AO68" s="27">
        <f t="shared" si="25"/>
        <v>-37691.409526772572</v>
      </c>
      <c r="AP68" s="27">
        <f t="shared" si="25"/>
        <v>-34858.598326463303</v>
      </c>
      <c r="AQ68" s="27">
        <f t="shared" si="25"/>
        <v>-32074.803640405629</v>
      </c>
      <c r="AR68" s="27">
        <f t="shared" si="25"/>
        <v>-29339.22767283221</v>
      </c>
      <c r="AS68" s="27">
        <f t="shared" si="25"/>
        <v>-26651.085545777165</v>
      </c>
      <c r="AT68" s="27">
        <f t="shared" si="25"/>
        <v>-24009.605090008143</v>
      </c>
      <c r="AU68" s="27">
        <f t="shared" si="25"/>
        <v>-21414.026639341799</v>
      </c>
      <c r="AV68" s="27">
        <f t="shared" si="25"/>
        <v>-18863.602828288043</v>
      </c>
      <c r="AW68" s="27">
        <f t="shared" si="25"/>
        <v>-16357.598392969219</v>
      </c>
      <c r="AX68" s="27">
        <f t="shared" si="25"/>
        <v>-13895.289975261139</v>
      </c>
      <c r="AY68" s="27">
        <f t="shared" si="25"/>
        <v>-11475.965930103912</v>
      </c>
      <c r="AZ68" s="27">
        <f t="shared" si="25"/>
        <v>-9098.926135931164</v>
      </c>
      <c r="BA68" s="27">
        <f t="shared" si="25"/>
        <v>-6763.481808167302</v>
      </c>
      <c r="BB68" s="27">
        <f t="shared" si="25"/>
        <v>-4468.9553157430755</v>
      </c>
      <c r="BC68" s="27">
        <f t="shared" si="25"/>
        <v>-2214.6800005806322</v>
      </c>
      <c r="BD68" s="27"/>
      <c r="BE68" s="27"/>
      <c r="BF68" s="27"/>
      <c r="BG68" s="27"/>
      <c r="BH68" s="27"/>
      <c r="BI68" s="27"/>
      <c r="BJ68" s="27"/>
      <c r="BK68" s="27"/>
      <c r="BL68" s="27"/>
      <c r="BM68" s="27"/>
      <c r="BN68" s="27"/>
      <c r="BO68" s="27"/>
    </row>
    <row r="69" spans="1:67">
      <c r="G69" s="45"/>
      <c r="J69" s="46"/>
    </row>
    <row r="70" spans="1:67">
      <c r="A70" s="24"/>
      <c r="C70" s="47"/>
      <c r="D70" s="47"/>
      <c r="E70" s="47"/>
      <c r="F70" s="47"/>
      <c r="G70" s="45"/>
    </row>
    <row r="71" spans="1:67">
      <c r="A71" s="24"/>
      <c r="C71" s="47"/>
      <c r="D71" s="47"/>
      <c r="E71" s="47"/>
      <c r="F71" s="47"/>
      <c r="G71" s="45"/>
      <c r="J71" s="48"/>
    </row>
    <row r="72" spans="1:67">
      <c r="A72" s="24"/>
      <c r="C72" s="47"/>
      <c r="D72" s="47"/>
      <c r="E72" s="47"/>
      <c r="F72" s="47"/>
      <c r="G72" s="45"/>
    </row>
    <row r="73" spans="1:67">
      <c r="A73" s="24"/>
      <c r="C73" s="47"/>
      <c r="D73" s="47"/>
      <c r="E73" s="47"/>
      <c r="F73" s="47"/>
      <c r="G73" s="45"/>
      <c r="J73" s="45"/>
    </row>
    <row r="74" spans="1:67">
      <c r="A74" s="24"/>
      <c r="C74" s="47"/>
      <c r="D74" s="47"/>
      <c r="E74" s="47"/>
      <c r="F74" s="47"/>
      <c r="G74" s="45"/>
    </row>
    <row r="75" spans="1:67">
      <c r="A75" s="24"/>
      <c r="C75" s="47"/>
      <c r="D75" s="47"/>
      <c r="E75" s="47"/>
      <c r="F75" s="47"/>
      <c r="G75" s="45"/>
    </row>
    <row r="76" spans="1:67">
      <c r="A76" s="24"/>
      <c r="C76" s="47"/>
      <c r="D76" s="47"/>
      <c r="E76" s="47"/>
      <c r="F76" s="47"/>
      <c r="G76" s="45"/>
    </row>
    <row r="77" spans="1:67">
      <c r="A77" s="24"/>
      <c r="C77" s="47"/>
      <c r="D77" s="47"/>
      <c r="E77" s="47"/>
      <c r="F77" s="47"/>
      <c r="G77" s="45"/>
    </row>
    <row r="78" spans="1:67">
      <c r="A78" s="24"/>
      <c r="C78" s="47"/>
      <c r="D78" s="47"/>
      <c r="E78" s="47"/>
      <c r="F78" s="47"/>
      <c r="G78" s="45"/>
    </row>
    <row r="79" spans="1:67">
      <c r="A79" s="24"/>
      <c r="C79" s="47"/>
      <c r="D79" s="47"/>
      <c r="E79" s="47"/>
      <c r="F79" s="47"/>
      <c r="G79" s="45"/>
    </row>
    <row r="80" spans="1:67">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C9D2-B9D0-5748-990C-028647F70263}">
  <sheetPr>
    <tabColor rgb="FFA7699E"/>
  </sheetPr>
  <dimension ref="A1:BW81"/>
  <sheetViews>
    <sheetView topLeftCell="A4" zoomScale="90" zoomScaleNormal="90" workbookViewId="0">
      <pane xSplit="4" ySplit="26" topLeftCell="E30" activePane="bottomRight" state="frozen"/>
      <selection activeCell="A26" sqref="A26:A28"/>
      <selection pane="topRight" activeCell="A26" sqref="A26:A28"/>
      <selection pane="bottomLeft" activeCell="A26" sqref="A26:A28"/>
      <selection pane="bottomRight" activeCell="C9" sqref="C9"/>
    </sheetView>
  </sheetViews>
  <sheetFormatPr defaultColWidth="20.5" defaultRowHeight="15.6"/>
  <cols>
    <col min="1" max="1" width="9.5" customWidth="1"/>
    <col min="2" max="2" width="9.19921875" customWidth="1"/>
    <col min="3" max="3" width="20.296875" customWidth="1"/>
    <col min="4" max="4" width="25" customWidth="1"/>
    <col min="5" max="5" width="26.796875" customWidth="1"/>
    <col min="21" max="21" width="24.5" customWidth="1"/>
    <col min="27" max="27" width="2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92</v>
      </c>
    </row>
    <row r="5" spans="1:7" ht="21">
      <c r="A5" s="1"/>
    </row>
    <row r="6" spans="1:7" ht="21">
      <c r="A6" s="347" t="s">
        <v>1</v>
      </c>
      <c r="B6" s="348"/>
      <c r="C6" s="348"/>
      <c r="D6" s="349"/>
      <c r="F6" s="321" t="s">
        <v>2</v>
      </c>
      <c r="G6" s="322"/>
    </row>
    <row r="7" spans="1:7">
      <c r="A7" s="4" t="s">
        <v>3</v>
      </c>
      <c r="D7" s="5">
        <f>Data!D16</f>
        <v>2005</v>
      </c>
      <c r="F7" s="6" t="s">
        <v>4</v>
      </c>
      <c r="G7" s="7">
        <f>D13</f>
        <v>551507000</v>
      </c>
    </row>
    <row r="8" spans="1:7">
      <c r="A8" s="4" t="s">
        <v>5</v>
      </c>
      <c r="D8" s="8">
        <f>Data!F16</f>
        <v>2E-3</v>
      </c>
      <c r="F8" s="6" t="s">
        <v>6</v>
      </c>
      <c r="G8" s="9">
        <f>D33*-1</f>
        <v>565400270.88980782</v>
      </c>
    </row>
    <row r="9" spans="1:7">
      <c r="A9" s="4" t="s">
        <v>7</v>
      </c>
      <c r="D9" s="10">
        <f>Data!G16</f>
        <v>5</v>
      </c>
      <c r="F9" s="11" t="s">
        <v>8</v>
      </c>
      <c r="G9" s="12">
        <f>D37*-1</f>
        <v>331557351.05209541</v>
      </c>
    </row>
    <row r="10" spans="1:7">
      <c r="A10" s="4" t="s">
        <v>9</v>
      </c>
      <c r="D10" s="10">
        <f>Data!E16</f>
        <v>17</v>
      </c>
    </row>
    <row r="11" spans="1:7">
      <c r="A11" s="4" t="s">
        <v>10</v>
      </c>
      <c r="D11" s="10">
        <v>2</v>
      </c>
      <c r="F11" s="321" t="s">
        <v>11</v>
      </c>
      <c r="G11" s="322"/>
    </row>
    <row r="12" spans="1:7">
      <c r="A12" s="4" t="s">
        <v>12</v>
      </c>
      <c r="D12" s="10">
        <f>(D10-D9)*2</f>
        <v>24</v>
      </c>
      <c r="F12" s="6" t="s">
        <v>4</v>
      </c>
      <c r="G12" s="7">
        <f>D13</f>
        <v>551507000</v>
      </c>
    </row>
    <row r="13" spans="1:7">
      <c r="A13" s="4" t="s">
        <v>79</v>
      </c>
      <c r="D13" s="109">
        <f>Data!B16</f>
        <v>551507000</v>
      </c>
      <c r="F13" s="6" t="s">
        <v>31</v>
      </c>
      <c r="G13" s="9">
        <f>D23</f>
        <v>343630496.45999998</v>
      </c>
    </row>
    <row r="14" spans="1:7">
      <c r="A14" s="13" t="s">
        <v>15</v>
      </c>
      <c r="B14" s="14"/>
      <c r="C14" s="14"/>
      <c r="D14" s="195">
        <v>4.9299999999999997E-2</v>
      </c>
      <c r="F14" s="6" t="s">
        <v>6</v>
      </c>
      <c r="G14" s="9">
        <f>(D44+D53)*-1</f>
        <v>567007752.59102774</v>
      </c>
    </row>
    <row r="15" spans="1:7">
      <c r="E15" s="16"/>
      <c r="F15" s="11" t="s">
        <v>8</v>
      </c>
      <c r="G15" s="12">
        <f>(D48+D57)*-1</f>
        <v>246670965.62366009</v>
      </c>
    </row>
    <row r="16" spans="1:7" ht="20.399999999999999">
      <c r="A16" s="354" t="s">
        <v>16</v>
      </c>
      <c r="B16" s="355"/>
      <c r="C16" s="355"/>
      <c r="D16" s="356"/>
      <c r="E16" s="16"/>
      <c r="F16" s="16"/>
    </row>
    <row r="17" spans="1:75">
      <c r="A17" s="4" t="s">
        <v>17</v>
      </c>
      <c r="D17" s="17">
        <f>Data!H16</f>
        <v>2018</v>
      </c>
      <c r="E17" s="16"/>
      <c r="F17" s="323" t="s">
        <v>109</v>
      </c>
      <c r="G17" s="324"/>
      <c r="H17" s="120"/>
    </row>
    <row r="18" spans="1:75">
      <c r="A18" s="4" t="s">
        <v>5</v>
      </c>
      <c r="D18" s="18">
        <f>Data!N16</f>
        <v>2E-3</v>
      </c>
      <c r="E18" s="16"/>
      <c r="F18" s="121" t="s">
        <v>44</v>
      </c>
      <c r="G18" s="118" t="s">
        <v>45</v>
      </c>
      <c r="H18" s="58"/>
    </row>
    <row r="19" spans="1:75">
      <c r="A19" s="4" t="s">
        <v>7</v>
      </c>
      <c r="D19" s="10">
        <f>Data!O16</f>
        <v>8.5</v>
      </c>
      <c r="E19" s="16"/>
      <c r="F19" s="119">
        <f>(1-((D8/D11)/D24))*(1-(((1/((1+D24)^(D11*D9)))-(1/((1+D24)^(D11*D10))))/(D24*(D11*D10-D11*D9))))</f>
        <v>0.39736840333355611</v>
      </c>
      <c r="G19" s="122">
        <f>(1-((D18/D21)/D24))*(1-(((1/((1+D24)^(D21*D19)))-(1/((1+D24)^(D21*D20))))/(D24*(D21*D20-D21*D19))))</f>
        <v>0.59423348501124684</v>
      </c>
    </row>
    <row r="20" spans="1:75">
      <c r="A20" s="4" t="s">
        <v>9</v>
      </c>
      <c r="D20" s="10">
        <f>Data!M16</f>
        <v>33</v>
      </c>
      <c r="E20" s="16"/>
      <c r="F20" s="16"/>
    </row>
    <row r="21" spans="1:75">
      <c r="A21" s="4" t="s">
        <v>10</v>
      </c>
      <c r="D21" s="10">
        <v>2</v>
      </c>
      <c r="E21" s="16"/>
      <c r="F21" s="16"/>
      <c r="G21" s="27"/>
    </row>
    <row r="22" spans="1:75">
      <c r="A22" s="4" t="s">
        <v>12</v>
      </c>
      <c r="D22" s="10">
        <f>(D20-D19)*2</f>
        <v>49</v>
      </c>
      <c r="E22" s="16"/>
      <c r="F22" s="16"/>
    </row>
    <row r="23" spans="1:75">
      <c r="A23" s="4" t="s">
        <v>260</v>
      </c>
      <c r="D23" s="110">
        <f>Data!L16</f>
        <v>343630496.45999998</v>
      </c>
      <c r="E23" s="16"/>
      <c r="F23" s="16"/>
    </row>
    <row r="24" spans="1:75">
      <c r="A24" s="196" t="s">
        <v>187</v>
      </c>
      <c r="B24" s="14"/>
      <c r="C24" s="14"/>
      <c r="D24" s="195">
        <f>(1.05^0.5)-1</f>
        <v>2.4695076595959931E-2</v>
      </c>
      <c r="E24" s="16"/>
      <c r="F24" s="16"/>
    </row>
    <row r="25" spans="1:75" s="19" customFormat="1" ht="31.2">
      <c r="A25" s="302" t="s">
        <v>43</v>
      </c>
      <c r="E25" s="53" t="s">
        <v>93</v>
      </c>
      <c r="F25" s="20"/>
      <c r="N25" s="51"/>
      <c r="O25" s="51"/>
      <c r="Q25" s="51"/>
      <c r="T25" s="21" t="s">
        <v>95</v>
      </c>
      <c r="U25" s="21" t="s">
        <v>96</v>
      </c>
      <c r="V25" s="51"/>
      <c r="AB25" s="51"/>
      <c r="AC25" s="21" t="s">
        <v>21</v>
      </c>
      <c r="AD25" s="51"/>
      <c r="AE25" s="51"/>
      <c r="AX25" s="51"/>
      <c r="BH25" s="51"/>
      <c r="BI25" s="21" t="s">
        <v>22</v>
      </c>
    </row>
    <row r="26" spans="1:75" s="22" customFormat="1">
      <c r="A26"/>
      <c r="B26"/>
      <c r="C26"/>
      <c r="D26"/>
      <c r="E26" s="16"/>
      <c r="F26" s="1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75">
      <c r="A27" s="2" t="s">
        <v>23</v>
      </c>
      <c r="D27" s="2"/>
      <c r="E27" s="23" t="s">
        <v>94</v>
      </c>
      <c r="F27" s="24">
        <v>40543</v>
      </c>
      <c r="G27" s="24">
        <v>40724</v>
      </c>
      <c r="H27" s="24">
        <v>40908</v>
      </c>
      <c r="I27" s="24">
        <v>41090</v>
      </c>
      <c r="J27" s="24">
        <v>41274</v>
      </c>
      <c r="K27" s="24">
        <v>41455</v>
      </c>
      <c r="L27" s="24">
        <v>41639</v>
      </c>
      <c r="M27" s="24">
        <v>41820</v>
      </c>
      <c r="N27" s="24">
        <v>42004</v>
      </c>
      <c r="O27" s="24">
        <v>42185</v>
      </c>
      <c r="P27" s="24">
        <v>42369</v>
      </c>
      <c r="Q27" s="24">
        <v>42551</v>
      </c>
      <c r="R27" s="24">
        <v>42735</v>
      </c>
      <c r="S27" s="24">
        <v>42916</v>
      </c>
      <c r="T27" s="24">
        <v>43100</v>
      </c>
      <c r="U27" s="24">
        <v>43281</v>
      </c>
      <c r="V27" s="24">
        <v>43465</v>
      </c>
      <c r="W27" s="24">
        <v>43646</v>
      </c>
      <c r="X27" s="24">
        <v>43830</v>
      </c>
      <c r="Y27" s="24">
        <v>44012</v>
      </c>
      <c r="Z27" s="24">
        <v>44196</v>
      </c>
      <c r="AA27" s="24">
        <v>44377</v>
      </c>
      <c r="AB27" s="24">
        <v>44561</v>
      </c>
      <c r="AC27" s="24">
        <v>44742</v>
      </c>
      <c r="AD27" s="24">
        <v>44926</v>
      </c>
      <c r="AE27" s="24">
        <v>45107</v>
      </c>
      <c r="AF27" s="24">
        <v>45291</v>
      </c>
      <c r="AG27" s="24">
        <v>45473</v>
      </c>
      <c r="AH27" s="24">
        <v>45657</v>
      </c>
      <c r="AI27" s="24">
        <v>45838</v>
      </c>
      <c r="AJ27" s="24">
        <v>46022</v>
      </c>
      <c r="AK27" s="24">
        <v>46203</v>
      </c>
      <c r="AL27" s="24">
        <v>46387</v>
      </c>
      <c r="AM27" s="24">
        <v>46568</v>
      </c>
      <c r="AN27" s="24">
        <v>46752</v>
      </c>
      <c r="AO27" s="24">
        <v>46934</v>
      </c>
      <c r="AP27" s="24">
        <v>47118</v>
      </c>
      <c r="AQ27" s="24">
        <v>47299</v>
      </c>
      <c r="AR27" s="24">
        <v>47483</v>
      </c>
      <c r="AS27" s="24">
        <v>47664</v>
      </c>
      <c r="AT27" s="24">
        <v>47848</v>
      </c>
      <c r="AU27" s="24">
        <v>48029</v>
      </c>
      <c r="AV27" s="24">
        <v>48213</v>
      </c>
      <c r="AW27" s="24">
        <v>48395</v>
      </c>
      <c r="AX27" s="24">
        <v>48579</v>
      </c>
      <c r="AY27" s="24">
        <v>48760</v>
      </c>
      <c r="AZ27" s="24">
        <v>48944</v>
      </c>
      <c r="BA27" s="24">
        <v>49125</v>
      </c>
      <c r="BB27" s="24">
        <v>49309</v>
      </c>
      <c r="BC27" s="24">
        <v>49490</v>
      </c>
      <c r="BD27" s="24">
        <v>49674</v>
      </c>
      <c r="BE27" s="24">
        <v>49856</v>
      </c>
      <c r="BF27" s="24">
        <v>50040</v>
      </c>
      <c r="BG27" s="24">
        <v>50221</v>
      </c>
      <c r="BH27" s="24">
        <v>50405</v>
      </c>
      <c r="BI27" s="24">
        <v>50586</v>
      </c>
      <c r="BJ27" s="24"/>
      <c r="BK27" s="23"/>
      <c r="BL27" s="24"/>
      <c r="BM27" s="23"/>
      <c r="BN27" s="24"/>
      <c r="BO27" s="23"/>
      <c r="BP27" s="24"/>
      <c r="BQ27" s="23"/>
      <c r="BR27" s="24"/>
      <c r="BS27" s="23"/>
      <c r="BT27" s="24"/>
      <c r="BU27" s="23"/>
      <c r="BV27" s="24"/>
      <c r="BW27" s="23"/>
    </row>
    <row r="28" spans="1:75">
      <c r="A28" s="2" t="s">
        <v>38</v>
      </c>
      <c r="D28" s="2"/>
      <c r="E28" s="23"/>
      <c r="F28" s="52">
        <f>D9*2+1</f>
        <v>11</v>
      </c>
      <c r="G28" s="52">
        <f>F28+1</f>
        <v>12</v>
      </c>
      <c r="H28" s="52">
        <f t="shared" ref="H28:AX28" si="0">G28+1</f>
        <v>13</v>
      </c>
      <c r="I28" s="52">
        <f t="shared" si="0"/>
        <v>14</v>
      </c>
      <c r="J28" s="52">
        <f t="shared" si="0"/>
        <v>15</v>
      </c>
      <c r="K28" s="52">
        <f t="shared" si="0"/>
        <v>16</v>
      </c>
      <c r="L28" s="52">
        <f t="shared" si="0"/>
        <v>17</v>
      </c>
      <c r="M28" s="52">
        <f t="shared" si="0"/>
        <v>18</v>
      </c>
      <c r="N28" s="52">
        <f t="shared" si="0"/>
        <v>19</v>
      </c>
      <c r="O28" s="52">
        <f t="shared" si="0"/>
        <v>20</v>
      </c>
      <c r="P28" s="52">
        <f t="shared" si="0"/>
        <v>21</v>
      </c>
      <c r="Q28" s="52">
        <f t="shared" si="0"/>
        <v>22</v>
      </c>
      <c r="R28" s="52">
        <f t="shared" si="0"/>
        <v>23</v>
      </c>
      <c r="S28" s="52">
        <f t="shared" si="0"/>
        <v>24</v>
      </c>
      <c r="T28" s="52">
        <f t="shared" si="0"/>
        <v>25</v>
      </c>
      <c r="U28" s="52">
        <f t="shared" si="0"/>
        <v>26</v>
      </c>
      <c r="V28" s="52">
        <f t="shared" si="0"/>
        <v>27</v>
      </c>
      <c r="W28" s="52">
        <f t="shared" si="0"/>
        <v>28</v>
      </c>
      <c r="X28" s="52">
        <f t="shared" si="0"/>
        <v>29</v>
      </c>
      <c r="Y28" s="52">
        <f t="shared" si="0"/>
        <v>30</v>
      </c>
      <c r="Z28" s="52">
        <f t="shared" si="0"/>
        <v>31</v>
      </c>
      <c r="AA28" s="52">
        <f t="shared" si="0"/>
        <v>32</v>
      </c>
      <c r="AB28" s="52">
        <f t="shared" si="0"/>
        <v>33</v>
      </c>
      <c r="AC28" s="52">
        <f t="shared" si="0"/>
        <v>34</v>
      </c>
      <c r="AD28" s="52">
        <f t="shared" si="0"/>
        <v>35</v>
      </c>
      <c r="AE28" s="52">
        <f t="shared" si="0"/>
        <v>36</v>
      </c>
      <c r="AF28" s="52">
        <f t="shared" si="0"/>
        <v>37</v>
      </c>
      <c r="AG28" s="52">
        <f t="shared" si="0"/>
        <v>38</v>
      </c>
      <c r="AH28" s="52">
        <f t="shared" si="0"/>
        <v>39</v>
      </c>
      <c r="AI28" s="52">
        <f t="shared" si="0"/>
        <v>40</v>
      </c>
      <c r="AJ28" s="52">
        <f t="shared" si="0"/>
        <v>41</v>
      </c>
      <c r="AK28" s="52">
        <f t="shared" si="0"/>
        <v>42</v>
      </c>
      <c r="AL28" s="52">
        <f t="shared" si="0"/>
        <v>43</v>
      </c>
      <c r="AM28" s="52">
        <f t="shared" si="0"/>
        <v>44</v>
      </c>
      <c r="AN28" s="52">
        <f t="shared" si="0"/>
        <v>45</v>
      </c>
      <c r="AO28" s="52">
        <f t="shared" si="0"/>
        <v>46</v>
      </c>
      <c r="AP28" s="52">
        <f t="shared" si="0"/>
        <v>47</v>
      </c>
      <c r="AQ28" s="52">
        <f t="shared" si="0"/>
        <v>48</v>
      </c>
      <c r="AR28" s="52">
        <f t="shared" si="0"/>
        <v>49</v>
      </c>
      <c r="AS28" s="52">
        <f t="shared" si="0"/>
        <v>50</v>
      </c>
      <c r="AT28" s="52">
        <f t="shared" si="0"/>
        <v>51</v>
      </c>
      <c r="AU28" s="52">
        <f t="shared" si="0"/>
        <v>52</v>
      </c>
      <c r="AV28" s="52">
        <f t="shared" si="0"/>
        <v>53</v>
      </c>
      <c r="AW28" s="52">
        <f t="shared" si="0"/>
        <v>54</v>
      </c>
      <c r="AX28" s="52">
        <f t="shared" si="0"/>
        <v>55</v>
      </c>
      <c r="AY28" s="52">
        <f t="shared" ref="AY28" si="1">AX28+1</f>
        <v>56</v>
      </c>
      <c r="AZ28" s="52">
        <f t="shared" ref="AZ28" si="2">AY28+1</f>
        <v>57</v>
      </c>
      <c r="BA28" s="52">
        <f t="shared" ref="BA28" si="3">AZ28+1</f>
        <v>58</v>
      </c>
      <c r="BB28" s="52">
        <f t="shared" ref="BB28" si="4">BA28+1</f>
        <v>59</v>
      </c>
      <c r="BC28" s="52">
        <f t="shared" ref="BC28" si="5">BB28+1</f>
        <v>60</v>
      </c>
      <c r="BD28" s="52">
        <f t="shared" ref="BD28" si="6">BC28+1</f>
        <v>61</v>
      </c>
      <c r="BE28" s="52">
        <f t="shared" ref="BE28" si="7">BD28+1</f>
        <v>62</v>
      </c>
      <c r="BF28" s="52">
        <f t="shared" ref="BF28" si="8">BE28+1</f>
        <v>63</v>
      </c>
      <c r="BG28" s="52">
        <f t="shared" ref="BG28" si="9">BF28+1</f>
        <v>64</v>
      </c>
      <c r="BH28" s="52">
        <f t="shared" ref="BH28:BI28" si="10">BG28+1</f>
        <v>65</v>
      </c>
      <c r="BI28" s="52">
        <f t="shared" si="10"/>
        <v>66</v>
      </c>
      <c r="BJ28" s="24"/>
      <c r="BK28" s="23"/>
      <c r="BL28" s="24"/>
      <c r="BM28" s="23"/>
      <c r="BN28" s="24"/>
      <c r="BO28" s="23"/>
      <c r="BP28" s="24"/>
      <c r="BQ28" s="23"/>
      <c r="BR28" s="24"/>
      <c r="BS28" s="23"/>
      <c r="BT28" s="24"/>
      <c r="BU28" s="23"/>
      <c r="BV28" s="24"/>
      <c r="BW28" s="23"/>
    </row>
    <row r="29" spans="1:75">
      <c r="A29" s="2" t="s">
        <v>26</v>
      </c>
      <c r="E29" s="25"/>
      <c r="F29" s="25">
        <f>1/(1+($D14/$D11))^(F28)</f>
        <v>0.76501334604131166</v>
      </c>
      <c r="G29" s="25">
        <f t="shared" ref="G29:BI29" si="11">1/(1+($D14/$D11))^(G28)</f>
        <v>0.74660942374597328</v>
      </c>
      <c r="H29" s="25">
        <f t="shared" si="11"/>
        <v>0.72864824451859</v>
      </c>
      <c r="I29" s="25">
        <f t="shared" si="11"/>
        <v>0.711119157291358</v>
      </c>
      <c r="J29" s="25">
        <f t="shared" si="11"/>
        <v>0.69401176722915914</v>
      </c>
      <c r="K29" s="25">
        <f t="shared" si="11"/>
        <v>0.67731592956537268</v>
      </c>
      <c r="L29" s="25">
        <f t="shared" si="11"/>
        <v>0.66102174358597821</v>
      </c>
      <c r="M29" s="25">
        <f t="shared" si="11"/>
        <v>0.64511954675838401</v>
      </c>
      <c r="N29" s="25">
        <f t="shared" si="11"/>
        <v>0.62959990900149709</v>
      </c>
      <c r="O29" s="25">
        <f t="shared" si="11"/>
        <v>0.61445362709363882</v>
      </c>
      <c r="P29" s="25">
        <f t="shared" si="11"/>
        <v>0.59967171921498919</v>
      </c>
      <c r="Q29" s="25">
        <f t="shared" si="11"/>
        <v>0.5852454196213237</v>
      </c>
      <c r="R29" s="25">
        <f t="shared" si="11"/>
        <v>0.57116617344588261</v>
      </c>
      <c r="S29" s="25">
        <f t="shared" si="11"/>
        <v>0.55742563162629433</v>
      </c>
      <c r="T29" s="25">
        <f t="shared" si="11"/>
        <v>0.54401564595353957</v>
      </c>
      <c r="U29" s="25">
        <f t="shared" si="11"/>
        <v>0.53092826424002293</v>
      </c>
      <c r="V29" s="25">
        <f t="shared" si="11"/>
        <v>0.51815572560388712</v>
      </c>
      <c r="W29" s="25">
        <f t="shared" si="11"/>
        <v>0.50569045586677108</v>
      </c>
      <c r="X29" s="25">
        <f t="shared" si="11"/>
        <v>0.49352506306228572</v>
      </c>
      <c r="Y29" s="25">
        <f t="shared" si="11"/>
        <v>0.48165233305254057</v>
      </c>
      <c r="Z29" s="25">
        <f t="shared" si="11"/>
        <v>0.47006522525012501</v>
      </c>
      <c r="AA29" s="25">
        <f t="shared" si="11"/>
        <v>0.45875686844300484</v>
      </c>
      <c r="AB29" s="25">
        <f t="shared" si="11"/>
        <v>0.44772055671986027</v>
      </c>
      <c r="AC29" s="25">
        <f t="shared" si="11"/>
        <v>0.43694974549344673</v>
      </c>
      <c r="AD29" s="25">
        <f t="shared" si="11"/>
        <v>0.42643804761962295</v>
      </c>
      <c r="AE29" s="25">
        <f t="shared" si="11"/>
        <v>0.4161792296097428</v>
      </c>
      <c r="AF29" s="25">
        <f t="shared" si="11"/>
        <v>0.40616720793416555</v>
      </c>
      <c r="AG29" s="25">
        <f t="shared" si="11"/>
        <v>0.39639604541469342</v>
      </c>
      <c r="AH29" s="25">
        <f t="shared" si="11"/>
        <v>0.38685994770379484</v>
      </c>
      <c r="AI29" s="25">
        <f t="shared" si="11"/>
        <v>0.3775532598485285</v>
      </c>
      <c r="AJ29" s="25">
        <f t="shared" si="11"/>
        <v>0.36847046293712826</v>
      </c>
      <c r="AK29" s="25">
        <f t="shared" si="11"/>
        <v>0.3596061708262609</v>
      </c>
      <c r="AL29" s="25">
        <f t="shared" si="11"/>
        <v>0.35095512694701697</v>
      </c>
      <c r="AM29" s="25">
        <f t="shared" si="11"/>
        <v>0.34251220118773912</v>
      </c>
      <c r="AN29" s="25">
        <f t="shared" si="11"/>
        <v>0.33427238685184124</v>
      </c>
      <c r="AO29" s="25">
        <f t="shared" si="11"/>
        <v>0.32623079768881197</v>
      </c>
      <c r="AP29" s="25">
        <f t="shared" si="11"/>
        <v>0.31838266499664469</v>
      </c>
      <c r="AQ29" s="25">
        <f t="shared" si="11"/>
        <v>0.31072333479397318</v>
      </c>
      <c r="AR29" s="25">
        <f t="shared" si="11"/>
        <v>0.30324826506023828</v>
      </c>
      <c r="AS29" s="25">
        <f t="shared" si="11"/>
        <v>0.29595302304224685</v>
      </c>
      <c r="AT29" s="25">
        <f t="shared" si="11"/>
        <v>0.2888332826255276</v>
      </c>
      <c r="AU29" s="25">
        <f t="shared" si="11"/>
        <v>0.2818848217689236</v>
      </c>
      <c r="AV29" s="25">
        <f t="shared" si="11"/>
        <v>0.27510352000090132</v>
      </c>
      <c r="AW29" s="25">
        <f t="shared" si="11"/>
        <v>0.26848535597609074</v>
      </c>
      <c r="AX29" s="25">
        <f t="shared" si="11"/>
        <v>0.26202640509060726</v>
      </c>
      <c r="AY29" s="25">
        <f t="shared" si="11"/>
        <v>0.25572283715474275</v>
      </c>
      <c r="AZ29" s="25">
        <f t="shared" si="11"/>
        <v>0.24957091412164423</v>
      </c>
      <c r="BA29" s="25">
        <f t="shared" si="11"/>
        <v>0.24356698787063311</v>
      </c>
      <c r="BB29" s="25">
        <f t="shared" si="11"/>
        <v>0.23770749804385211</v>
      </c>
      <c r="BC29" s="25">
        <f t="shared" si="11"/>
        <v>0.23198896993495546</v>
      </c>
      <c r="BD29" s="25">
        <f t="shared" si="11"/>
        <v>0.22640801242859068</v>
      </c>
      <c r="BE29" s="25">
        <f t="shared" si="11"/>
        <v>0.22096131598945071</v>
      </c>
      <c r="BF29" s="25">
        <f t="shared" si="11"/>
        <v>0.21564565069970304</v>
      </c>
      <c r="BG29" s="25">
        <f t="shared" si="11"/>
        <v>0.21045786434363242</v>
      </c>
      <c r="BH29" s="25">
        <f t="shared" si="11"/>
        <v>0.2053948805383618</v>
      </c>
      <c r="BI29" s="25">
        <f t="shared" si="11"/>
        <v>0.20045369690954157</v>
      </c>
      <c r="BJ29" s="25"/>
      <c r="BK29" s="25"/>
      <c r="BL29" s="25"/>
      <c r="BM29" s="25"/>
      <c r="BN29" s="25"/>
      <c r="BO29" s="25"/>
      <c r="BP29" s="25"/>
      <c r="BQ29" s="25"/>
      <c r="BR29" s="25"/>
      <c r="BS29" s="25"/>
      <c r="BT29" s="25"/>
      <c r="BU29" s="25"/>
      <c r="BV29" s="25"/>
      <c r="BW29" s="25"/>
    </row>
    <row r="30" spans="1:75">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 t="s">
        <v>37</v>
      </c>
      <c r="D32" s="2"/>
      <c r="E32" s="23"/>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BI32" s="23"/>
      <c r="BJ32" s="24"/>
      <c r="BK32" s="23"/>
      <c r="BL32" s="24"/>
      <c r="BM32" s="23"/>
      <c r="BN32" s="24"/>
      <c r="BO32" s="23"/>
      <c r="BP32" s="24"/>
      <c r="BQ32" s="23"/>
      <c r="BR32" s="24"/>
      <c r="BS32" s="23"/>
      <c r="BT32" s="24"/>
      <c r="BU32" s="23"/>
      <c r="BV32" s="24"/>
      <c r="BW32" s="23"/>
    </row>
    <row r="33" spans="1:75">
      <c r="A33" s="27"/>
      <c r="B33" s="26" t="s">
        <v>28</v>
      </c>
      <c r="C33" s="27"/>
      <c r="D33" s="27">
        <f>SUM(E33:CC33)</f>
        <v>-565400270.88980782</v>
      </c>
      <c r="E33" s="27"/>
      <c r="F33" s="27">
        <f t="shared" ref="F33:AC33" si="12">PMT($D$8,$D$12,$D$13)</f>
        <v>-23558344.620408662</v>
      </c>
      <c r="G33" s="27">
        <f t="shared" si="12"/>
        <v>-23558344.620408662</v>
      </c>
      <c r="H33" s="27">
        <f t="shared" si="12"/>
        <v>-23558344.620408662</v>
      </c>
      <c r="I33" s="27">
        <f t="shared" si="12"/>
        <v>-23558344.620408662</v>
      </c>
      <c r="J33" s="27">
        <f t="shared" si="12"/>
        <v>-23558344.620408662</v>
      </c>
      <c r="K33" s="27">
        <f t="shared" si="12"/>
        <v>-23558344.620408662</v>
      </c>
      <c r="L33" s="27">
        <f t="shared" si="12"/>
        <v>-23558344.620408662</v>
      </c>
      <c r="M33" s="27">
        <f t="shared" si="12"/>
        <v>-23558344.620408662</v>
      </c>
      <c r="N33" s="27">
        <f t="shared" si="12"/>
        <v>-23558344.620408662</v>
      </c>
      <c r="O33" s="27">
        <f t="shared" si="12"/>
        <v>-23558344.620408662</v>
      </c>
      <c r="P33" s="27">
        <f t="shared" si="12"/>
        <v>-23558344.620408662</v>
      </c>
      <c r="Q33" s="27">
        <f t="shared" si="12"/>
        <v>-23558344.620408662</v>
      </c>
      <c r="R33" s="27">
        <f t="shared" si="12"/>
        <v>-23558344.620408662</v>
      </c>
      <c r="S33" s="27">
        <f t="shared" si="12"/>
        <v>-23558344.620408662</v>
      </c>
      <c r="T33" s="27">
        <f t="shared" si="12"/>
        <v>-23558344.620408662</v>
      </c>
      <c r="U33" s="27">
        <f t="shared" si="12"/>
        <v>-23558344.620408662</v>
      </c>
      <c r="V33" s="27">
        <f t="shared" si="12"/>
        <v>-23558344.620408662</v>
      </c>
      <c r="W33" s="27">
        <f t="shared" si="12"/>
        <v>-23558344.620408662</v>
      </c>
      <c r="X33" s="27">
        <f t="shared" si="12"/>
        <v>-23558344.620408662</v>
      </c>
      <c r="Y33" s="27">
        <f t="shared" si="12"/>
        <v>-23558344.620408662</v>
      </c>
      <c r="Z33" s="27">
        <f t="shared" si="12"/>
        <v>-23558344.620408662</v>
      </c>
      <c r="AA33" s="27">
        <f t="shared" si="12"/>
        <v>-23558344.620408662</v>
      </c>
      <c r="AB33" s="27">
        <f t="shared" si="12"/>
        <v>-23558344.620408662</v>
      </c>
      <c r="AC33" s="27">
        <f t="shared" si="12"/>
        <v>-23558344.620408662</v>
      </c>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35" si="13">SUM(E34:CC34)</f>
        <v>-551506999.99999988</v>
      </c>
      <c r="E34" s="27"/>
      <c r="F34" s="27">
        <f t="shared" ref="F34:AC34" si="14">PPMT($D$8,F32,$D$12,$D$13)</f>
        <v>-22455330.620408662</v>
      </c>
      <c r="G34" s="27">
        <f t="shared" si="14"/>
        <v>-22500241.281649478</v>
      </c>
      <c r="H34" s="27">
        <f t="shared" si="14"/>
        <v>-22545241.764212776</v>
      </c>
      <c r="I34" s="27">
        <f t="shared" si="14"/>
        <v>-22590332.247741204</v>
      </c>
      <c r="J34" s="27">
        <f t="shared" si="14"/>
        <v>-22635512.912236687</v>
      </c>
      <c r="K34" s="27">
        <f t="shared" si="14"/>
        <v>-22680783.938061159</v>
      </c>
      <c r="L34" s="27">
        <f t="shared" si="14"/>
        <v>-22726145.505937278</v>
      </c>
      <c r="M34" s="27">
        <f t="shared" si="14"/>
        <v>-22771597.796949159</v>
      </c>
      <c r="N34" s="27">
        <f t="shared" si="14"/>
        <v>-22817140.992543053</v>
      </c>
      <c r="O34" s="27">
        <f t="shared" si="14"/>
        <v>-22862775.274528142</v>
      </c>
      <c r="P34" s="27">
        <f t="shared" si="14"/>
        <v>-22908500.825077198</v>
      </c>
      <c r="Q34" s="27">
        <f t="shared" si="14"/>
        <v>-22954317.826727353</v>
      </c>
      <c r="R34" s="27">
        <f t="shared" si="14"/>
        <v>-23000226.462380808</v>
      </c>
      <c r="S34" s="27">
        <f t="shared" si="14"/>
        <v>-23046226.915305566</v>
      </c>
      <c r="T34" s="27">
        <f t="shared" si="14"/>
        <v>-23092319.369136177</v>
      </c>
      <c r="U34" s="27">
        <f t="shared" si="14"/>
        <v>-23138504.007874452</v>
      </c>
      <c r="V34" s="27">
        <f t="shared" si="14"/>
        <v>-23184781.0158902</v>
      </c>
      <c r="W34" s="27">
        <f t="shared" si="14"/>
        <v>-23231150.577921983</v>
      </c>
      <c r="X34" s="27">
        <f t="shared" si="14"/>
        <v>-23277612.879077826</v>
      </c>
      <c r="Y34" s="27">
        <f t="shared" si="14"/>
        <v>-23324168.10483598</v>
      </c>
      <c r="Z34" s="27">
        <f t="shared" si="14"/>
        <v>-23370816.441045649</v>
      </c>
      <c r="AA34" s="27">
        <f t="shared" si="14"/>
        <v>-23417558.073927745</v>
      </c>
      <c r="AB34" s="27">
        <f t="shared" si="14"/>
        <v>-23464393.190075595</v>
      </c>
      <c r="AC34" s="27">
        <f t="shared" si="14"/>
        <v>-23511321.976455752</v>
      </c>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13"/>
        <v>-13893270.889807999</v>
      </c>
      <c r="E35" s="27"/>
      <c r="F35" s="27">
        <f t="shared" ref="F35:AC35" si="15">IPMT($D$8,F32,$D$12,$D13)</f>
        <v>-1103014</v>
      </c>
      <c r="G35" s="27">
        <f t="shared" si="15"/>
        <v>-1058103.3387591827</v>
      </c>
      <c r="H35" s="27">
        <f t="shared" si="15"/>
        <v>-1013102.8561958838</v>
      </c>
      <c r="I35" s="27">
        <f t="shared" si="15"/>
        <v>-968012.37266745814</v>
      </c>
      <c r="J35" s="27">
        <f t="shared" si="15"/>
        <v>-922831.70817197592</v>
      </c>
      <c r="K35" s="27">
        <f t="shared" si="15"/>
        <v>-877560.68234750233</v>
      </c>
      <c r="L35" s="27">
        <f t="shared" si="15"/>
        <v>-832199.11447138013</v>
      </c>
      <c r="M35" s="27">
        <f t="shared" si="15"/>
        <v>-786746.82345950545</v>
      </c>
      <c r="N35" s="27">
        <f t="shared" si="15"/>
        <v>-741203.62786560715</v>
      </c>
      <c r="O35" s="27">
        <f t="shared" si="15"/>
        <v>-695569.34588052111</v>
      </c>
      <c r="P35" s="27">
        <f t="shared" si="15"/>
        <v>-649843.79533146473</v>
      </c>
      <c r="Q35" s="27">
        <f t="shared" si="15"/>
        <v>-604026.79368131026</v>
      </c>
      <c r="R35" s="27">
        <f t="shared" si="15"/>
        <v>-558118.15802785568</v>
      </c>
      <c r="S35" s="27">
        <f t="shared" si="15"/>
        <v>-512117.70510309399</v>
      </c>
      <c r="T35" s="27">
        <f t="shared" si="15"/>
        <v>-466025.25127248286</v>
      </c>
      <c r="U35" s="27">
        <f t="shared" si="15"/>
        <v>-419840.61253421044</v>
      </c>
      <c r="V35" s="27">
        <f t="shared" si="15"/>
        <v>-373563.60451846157</v>
      </c>
      <c r="W35" s="27">
        <f t="shared" si="15"/>
        <v>-327194.0424866812</v>
      </c>
      <c r="X35" s="27">
        <f t="shared" si="15"/>
        <v>-280731.74133083719</v>
      </c>
      <c r="Y35" s="27">
        <f t="shared" si="15"/>
        <v>-234176.51557268156</v>
      </c>
      <c r="Z35" s="27">
        <f t="shared" si="15"/>
        <v>-187528.17936300955</v>
      </c>
      <c r="AA35" s="27">
        <f t="shared" si="15"/>
        <v>-140786.54648091824</v>
      </c>
      <c r="AB35" s="27">
        <f t="shared" si="15"/>
        <v>-93951.43033306273</v>
      </c>
      <c r="AC35" s="27">
        <f t="shared" si="15"/>
        <v>-47022.643952911516</v>
      </c>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551507000</v>
      </c>
      <c r="F36" s="34">
        <f>E36+F34</f>
        <v>529051669.37959135</v>
      </c>
      <c r="G36" s="34">
        <f>F36+G34</f>
        <v>506551428.09794188</v>
      </c>
      <c r="H36" s="34">
        <f t="shared" ref="H36:AC36" si="16">G36+H34</f>
        <v>484006186.33372909</v>
      </c>
      <c r="I36" s="34">
        <f t="shared" si="16"/>
        <v>461415854.08598787</v>
      </c>
      <c r="J36" s="34">
        <f t="shared" si="16"/>
        <v>438780341.17375118</v>
      </c>
      <c r="K36" s="34">
        <f t="shared" si="16"/>
        <v>416099557.23569</v>
      </c>
      <c r="L36" s="34">
        <f t="shared" si="16"/>
        <v>393373411.72975272</v>
      </c>
      <c r="M36" s="34">
        <f t="shared" si="16"/>
        <v>370601813.93280357</v>
      </c>
      <c r="N36" s="34">
        <f t="shared" si="16"/>
        <v>347784672.94026053</v>
      </c>
      <c r="O36" s="34">
        <f t="shared" si="16"/>
        <v>324921897.66573238</v>
      </c>
      <c r="P36" s="34">
        <f t="shared" si="16"/>
        <v>302013396.84065521</v>
      </c>
      <c r="Q36" s="34">
        <f t="shared" si="16"/>
        <v>279059079.01392788</v>
      </c>
      <c r="R36" s="34">
        <f t="shared" si="16"/>
        <v>256058852.55154708</v>
      </c>
      <c r="S36" s="34">
        <f t="shared" si="16"/>
        <v>233012625.63624153</v>
      </c>
      <c r="T36" s="34">
        <f t="shared" si="16"/>
        <v>209920306.26710534</v>
      </c>
      <c r="U36" s="34">
        <f t="shared" si="16"/>
        <v>186781802.25923088</v>
      </c>
      <c r="V36" s="34">
        <f t="shared" si="16"/>
        <v>163597021.24334067</v>
      </c>
      <c r="W36" s="34">
        <f t="shared" si="16"/>
        <v>140365870.66541868</v>
      </c>
      <c r="X36" s="34">
        <f t="shared" si="16"/>
        <v>117088257.78634086</v>
      </c>
      <c r="Y36" s="34">
        <f t="shared" si="16"/>
        <v>93764089.681504875</v>
      </c>
      <c r="Z36" s="34">
        <f t="shared" si="16"/>
        <v>70393273.240459234</v>
      </c>
      <c r="AA36" s="34">
        <f t="shared" si="16"/>
        <v>46975715.166531488</v>
      </c>
      <c r="AB36" s="34">
        <f t="shared" si="16"/>
        <v>23511321.976455893</v>
      </c>
      <c r="AC36" s="34">
        <f t="shared" si="16"/>
        <v>1.4156103134155273E-7</v>
      </c>
      <c r="AD36" s="34"/>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ref="D37:D59" si="17">SUM(E37:CC37)</f>
        <v>-331557351.05209541</v>
      </c>
      <c r="E37" s="34"/>
      <c r="F37" s="34">
        <f t="shared" ref="F37:AC37" si="18">F33*F29</f>
        <v>-18022448.045253165</v>
      </c>
      <c r="G37" s="34">
        <f t="shared" si="18"/>
        <v>-17588882.101452362</v>
      </c>
      <c r="H37" s="34">
        <f t="shared" si="18"/>
        <v>-17165746.45142474</v>
      </c>
      <c r="I37" s="34">
        <f t="shared" si="18"/>
        <v>-16752790.173644405</v>
      </c>
      <c r="J37" s="34">
        <f t="shared" si="18"/>
        <v>-16349768.383003369</v>
      </c>
      <c r="K37" s="34">
        <f t="shared" si="18"/>
        <v>-15956442.08559349</v>
      </c>
      <c r="L37" s="34">
        <f t="shared" si="18"/>
        <v>-15572578.036981883</v>
      </c>
      <c r="M37" s="34">
        <f t="shared" si="18"/>
        <v>-15197948.60389585</v>
      </c>
      <c r="N37" s="34">
        <f t="shared" si="18"/>
        <v>-14832331.629235202</v>
      </c>
      <c r="O37" s="34">
        <f t="shared" si="18"/>
        <v>-14475510.300332015</v>
      </c>
      <c r="P37" s="34">
        <f t="shared" si="18"/>
        <v>-14127273.020379653</v>
      </c>
      <c r="Q37" s="34">
        <f t="shared" si="18"/>
        <v>-13787413.282954821</v>
      </c>
      <c r="R37" s="34">
        <f t="shared" si="18"/>
        <v>-13455729.549558209</v>
      </c>
      <c r="S37" s="34">
        <f t="shared" si="18"/>
        <v>-13132025.130101211</v>
      </c>
      <c r="T37" s="34">
        <f t="shared" si="18"/>
        <v>-12816108.066267712</v>
      </c>
      <c r="U37" s="34">
        <f t="shared" si="18"/>
        <v>-12507791.017681852</v>
      </c>
      <c r="V37" s="34">
        <f t="shared" si="18"/>
        <v>-12206891.15081428</v>
      </c>
      <c r="W37" s="34">
        <f t="shared" si="18"/>
        <v>-11913230.03056095</v>
      </c>
      <c r="X37" s="34">
        <f t="shared" si="18"/>
        <v>-11626633.514430244</v>
      </c>
      <c r="Y37" s="34">
        <f t="shared" si="18"/>
        <v>-11346931.649275601</v>
      </c>
      <c r="Z37" s="34">
        <f t="shared" si="18"/>
        <v>-11073958.570512468</v>
      </c>
      <c r="AA37" s="34">
        <f t="shared" si="18"/>
        <v>-10807552.403759787</v>
      </c>
      <c r="AB37" s="34">
        <f t="shared" si="18"/>
        <v>-10547555.168847691</v>
      </c>
      <c r="AC37" s="34">
        <f t="shared" si="18"/>
        <v>-10293812.686134474</v>
      </c>
      <c r="AD37" s="34"/>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17"/>
        <v>-322660843.22043204</v>
      </c>
      <c r="E38" s="34"/>
      <c r="F38" s="34">
        <f t="shared" ref="F38:AC38" si="19">F34*F29</f>
        <v>-17178627.614382751</v>
      </c>
      <c r="G38" s="34">
        <f t="shared" si="19"/>
        <v>-16798892.177437674</v>
      </c>
      <c r="H38" s="34">
        <f t="shared" si="19"/>
        <v>-16427550.833740838</v>
      </c>
      <c r="I38" s="34">
        <f t="shared" si="19"/>
        <v>-16064418.030945513</v>
      </c>
      <c r="J38" s="34">
        <f t="shared" si="19"/>
        <v>-15709312.318359833</v>
      </c>
      <c r="K38" s="34">
        <f t="shared" si="19"/>
        <v>-15362056.256279267</v>
      </c>
      <c r="L38" s="34">
        <f t="shared" si="19"/>
        <v>-15022476.327323303</v>
      </c>
      <c r="M38" s="34">
        <f t="shared" si="19"/>
        <v>-14690402.849732058</v>
      </c>
      <c r="N38" s="34">
        <f t="shared" si="19"/>
        <v>-14365669.892579434</v>
      </c>
      <c r="O38" s="34">
        <f t="shared" si="19"/>
        <v>-14048115.192860581</v>
      </c>
      <c r="P38" s="34">
        <f t="shared" si="19"/>
        <v>-13737580.074412042</v>
      </c>
      <c r="Q38" s="34">
        <f t="shared" si="19"/>
        <v>-13433909.368624281</v>
      </c>
      <c r="R38" s="34">
        <f t="shared" si="19"/>
        <v>-13136951.336906776</v>
      </c>
      <c r="S38" s="34">
        <f t="shared" si="19"/>
        <v>-12846557.59486711</v>
      </c>
      <c r="T38" s="34">
        <f t="shared" si="19"/>
        <v>-12562583.03816605</v>
      </c>
      <c r="U38" s="34">
        <f t="shared" si="19"/>
        <v>-12284885.770011596</v>
      </c>
      <c r="V38" s="34">
        <f t="shared" si="19"/>
        <v>-12013327.030255813</v>
      </c>
      <c r="W38" s="34">
        <f t="shared" si="19"/>
        <v>-11747771.12605897</v>
      </c>
      <c r="X38" s="34">
        <f t="shared" si="19"/>
        <v>-11488085.364086358</v>
      </c>
      <c r="Y38" s="34">
        <f t="shared" si="19"/>
        <v>-11234139.984203903</v>
      </c>
      <c r="Z38" s="34">
        <f t="shared" si="19"/>
        <v>-10985808.094639448</v>
      </c>
      <c r="AA38" s="34">
        <f t="shared" si="19"/>
        <v>-10742965.608577296</v>
      </c>
      <c r="AB38" s="34">
        <f t="shared" si="19"/>
        <v>-10505491.182154344</v>
      </c>
      <c r="AC38" s="34">
        <f t="shared" si="19"/>
        <v>-10273266.153826822</v>
      </c>
      <c r="AD38" s="34"/>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17"/>
        <v>-8896507.8316633664</v>
      </c>
      <c r="E39" s="34"/>
      <c r="F39" s="34">
        <f t="shared" ref="F39:AC39" si="20">F35*F29</f>
        <v>-843820.43087041134</v>
      </c>
      <c r="G39" s="34">
        <f t="shared" si="20"/>
        <v>-789989.92401468381</v>
      </c>
      <c r="H39" s="34">
        <f t="shared" si="20"/>
        <v>-738195.61768390029</v>
      </c>
      <c r="I39" s="34">
        <f t="shared" si="20"/>
        <v>-688372.14269889076</v>
      </c>
      <c r="J39" s="34">
        <f t="shared" si="20"/>
        <v>-640456.06464353669</v>
      </c>
      <c r="K39" s="34">
        <f t="shared" si="20"/>
        <v>-594385.82931422128</v>
      </c>
      <c r="L39" s="34">
        <f t="shared" si="20"/>
        <v>-550101.70965857874</v>
      </c>
      <c r="M39" s="34">
        <f t="shared" si="20"/>
        <v>-507545.75416379451</v>
      </c>
      <c r="N39" s="34">
        <f t="shared" si="20"/>
        <v>-466661.7366557658</v>
      </c>
      <c r="O39" s="34">
        <f t="shared" si="20"/>
        <v>-427395.10747143597</v>
      </c>
      <c r="P39" s="34">
        <f t="shared" si="20"/>
        <v>-389692.94596761302</v>
      </c>
      <c r="Q39" s="34">
        <f t="shared" si="20"/>
        <v>-353503.91433054116</v>
      </c>
      <c r="R39" s="34">
        <f t="shared" si="20"/>
        <v>-318778.21265143476</v>
      </c>
      <c r="S39" s="34">
        <f t="shared" si="20"/>
        <v>-285467.53523410048</v>
      </c>
      <c r="T39" s="34">
        <f t="shared" si="20"/>
        <v>-253525.02810166034</v>
      </c>
      <c r="U39" s="34">
        <f t="shared" si="20"/>
        <v>-222905.24767025636</v>
      </c>
      <c r="V39" s="34">
        <f t="shared" si="20"/>
        <v>-193564.12055846697</v>
      </c>
      <c r="W39" s="34">
        <f t="shared" si="20"/>
        <v>-165458.90450198148</v>
      </c>
      <c r="X39" s="34">
        <f t="shared" si="20"/>
        <v>-138548.15034388669</v>
      </c>
      <c r="Y39" s="34">
        <f t="shared" si="20"/>
        <v>-112791.66507169667</v>
      </c>
      <c r="Z39" s="34">
        <f t="shared" si="20"/>
        <v>-88150.475873018921</v>
      </c>
      <c r="AA39" s="34">
        <f t="shared" si="20"/>
        <v>-64586.795182491594</v>
      </c>
      <c r="AB39" s="34">
        <f t="shared" si="20"/>
        <v>-42063.986693346014</v>
      </c>
      <c r="AC39" s="34">
        <f t="shared" si="20"/>
        <v>-20546.532307653648</v>
      </c>
      <c r="AD39" s="34"/>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17"/>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17"/>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17"/>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 t="s">
        <v>24</v>
      </c>
      <c r="D43" s="2"/>
      <c r="E43" s="23"/>
      <c r="F43" s="52">
        <v>1</v>
      </c>
      <c r="G43" s="52">
        <v>2</v>
      </c>
      <c r="H43" s="52">
        <v>3</v>
      </c>
      <c r="I43" s="52">
        <v>4</v>
      </c>
      <c r="J43" s="52">
        <v>5</v>
      </c>
      <c r="K43" s="52">
        <v>6</v>
      </c>
      <c r="L43" s="52">
        <v>7</v>
      </c>
      <c r="M43" s="52">
        <v>8</v>
      </c>
      <c r="N43" s="52">
        <v>9</v>
      </c>
      <c r="O43" s="52">
        <v>10</v>
      </c>
      <c r="P43" s="52">
        <v>11</v>
      </c>
      <c r="Q43" s="52">
        <v>12</v>
      </c>
      <c r="R43" s="52">
        <v>13</v>
      </c>
      <c r="S43" s="52">
        <v>14</v>
      </c>
      <c r="T43" s="52">
        <v>15</v>
      </c>
      <c r="U43" s="23"/>
      <c r="V43" s="23"/>
      <c r="W43" s="23"/>
      <c r="X43" s="23"/>
      <c r="Y43" s="23"/>
      <c r="Z43" s="23"/>
      <c r="AA43" s="23"/>
      <c r="AB43" s="23"/>
      <c r="AC43" s="23"/>
      <c r="AD43" s="23"/>
      <c r="BI43" s="23"/>
      <c r="BJ43" s="24"/>
      <c r="BK43" s="23"/>
      <c r="BL43" s="24"/>
      <c r="BM43" s="23"/>
      <c r="BN43" s="24"/>
      <c r="BO43" s="23"/>
      <c r="BP43" s="24"/>
      <c r="BQ43" s="23"/>
      <c r="BR43" s="24"/>
      <c r="BS43" s="23"/>
      <c r="BT43" s="24"/>
      <c r="BU43" s="23"/>
      <c r="BV43" s="24"/>
      <c r="BW43" s="23"/>
    </row>
    <row r="44" spans="1:75">
      <c r="A44" s="41"/>
      <c r="B44" s="26" t="s">
        <v>28</v>
      </c>
      <c r="C44" s="27"/>
      <c r="D44" s="27">
        <f t="shared" si="17"/>
        <v>-211218033.30830467</v>
      </c>
      <c r="E44" s="34"/>
      <c r="F44" s="34">
        <f>PMT($D$8, 15,$D$13-$D$23)</f>
        <v>-14081202.22055365</v>
      </c>
      <c r="G44" s="34">
        <f t="shared" ref="G44:T44" si="21">PMT($D$8, 15,$D$13-$D$23)</f>
        <v>-14081202.22055365</v>
      </c>
      <c r="H44" s="34">
        <f t="shared" si="21"/>
        <v>-14081202.22055365</v>
      </c>
      <c r="I44" s="34">
        <f t="shared" si="21"/>
        <v>-14081202.22055365</v>
      </c>
      <c r="J44" s="34">
        <f t="shared" si="21"/>
        <v>-14081202.22055365</v>
      </c>
      <c r="K44" s="34">
        <f t="shared" si="21"/>
        <v>-14081202.22055365</v>
      </c>
      <c r="L44" s="34">
        <f t="shared" si="21"/>
        <v>-14081202.22055365</v>
      </c>
      <c r="M44" s="34">
        <f t="shared" si="21"/>
        <v>-14081202.22055365</v>
      </c>
      <c r="N44" s="34">
        <f t="shared" si="21"/>
        <v>-14081202.22055365</v>
      </c>
      <c r="O44" s="34">
        <f t="shared" si="21"/>
        <v>-14081202.22055365</v>
      </c>
      <c r="P44" s="34">
        <f t="shared" si="21"/>
        <v>-14081202.22055365</v>
      </c>
      <c r="Q44" s="34">
        <f t="shared" si="21"/>
        <v>-14081202.22055365</v>
      </c>
      <c r="R44" s="34">
        <f t="shared" si="21"/>
        <v>-14081202.22055365</v>
      </c>
      <c r="S44" s="34">
        <f t="shared" si="21"/>
        <v>-14081202.22055365</v>
      </c>
      <c r="T44" s="34">
        <f t="shared" si="21"/>
        <v>-14081202.22055365</v>
      </c>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17"/>
        <v>-207876503.53999993</v>
      </c>
      <c r="E45" s="34"/>
      <c r="F45" s="34">
        <f t="shared" ref="F45:T45" si="22">PPMT($D$8,F43, 15,$D$13-$D$23)</f>
        <v>-13665449.21347365</v>
      </c>
      <c r="G45" s="34">
        <f t="shared" si="22"/>
        <v>-13692780.1119006</v>
      </c>
      <c r="H45" s="34">
        <f t="shared" si="22"/>
        <v>-13720165.672124399</v>
      </c>
      <c r="I45" s="34">
        <f t="shared" si="22"/>
        <v>-13747606.003468648</v>
      </c>
      <c r="J45" s="34">
        <f t="shared" si="22"/>
        <v>-13775101.215475583</v>
      </c>
      <c r="K45" s="34">
        <f t="shared" si="22"/>
        <v>-13802651.417906536</v>
      </c>
      <c r="L45" s="34">
        <f t="shared" si="22"/>
        <v>-13830256.72074235</v>
      </c>
      <c r="M45" s="34">
        <f t="shared" si="22"/>
        <v>-13857917.234183835</v>
      </c>
      <c r="N45" s="34">
        <f t="shared" si="22"/>
        <v>-13885633.068652203</v>
      </c>
      <c r="O45" s="34">
        <f t="shared" si="22"/>
        <v>-13913404.334789505</v>
      </c>
      <c r="P45" s="34">
        <f t="shared" si="22"/>
        <v>-13941231.143459085</v>
      </c>
      <c r="Q45" s="34">
        <f t="shared" si="22"/>
        <v>-13969113.605746003</v>
      </c>
      <c r="R45" s="34">
        <f t="shared" si="22"/>
        <v>-13997051.832957495</v>
      </c>
      <c r="S45" s="34">
        <f t="shared" si="22"/>
        <v>-14025045.936623409</v>
      </c>
      <c r="T45" s="34">
        <f t="shared" si="22"/>
        <v>-14053096.028496657</v>
      </c>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17"/>
        <v>-3341529.7683047983</v>
      </c>
      <c r="E46" s="27"/>
      <c r="F46" s="34">
        <f t="shared" ref="F46:T46" si="23">IPMT($D$8,F43, 15,$D$13-$D$23)</f>
        <v>-415753.00708000007</v>
      </c>
      <c r="G46" s="34">
        <f t="shared" si="23"/>
        <v>-388422.10865305277</v>
      </c>
      <c r="H46" s="34">
        <f t="shared" si="23"/>
        <v>-361036.54842925147</v>
      </c>
      <c r="I46" s="34">
        <f t="shared" si="23"/>
        <v>-333596.21708500275</v>
      </c>
      <c r="J46" s="34">
        <f t="shared" si="23"/>
        <v>-306101.00507806538</v>
      </c>
      <c r="K46" s="34">
        <f t="shared" si="23"/>
        <v>-278550.80264711421</v>
      </c>
      <c r="L46" s="34">
        <f t="shared" si="23"/>
        <v>-250945.49981130112</v>
      </c>
      <c r="M46" s="34">
        <f t="shared" si="23"/>
        <v>-223284.9863698165</v>
      </c>
      <c r="N46" s="34">
        <f t="shared" si="23"/>
        <v>-195569.15190144876</v>
      </c>
      <c r="O46" s="34">
        <f t="shared" si="23"/>
        <v>-167797.88576414436</v>
      </c>
      <c r="P46" s="34">
        <f t="shared" si="23"/>
        <v>-139971.07709456538</v>
      </c>
      <c r="Q46" s="34">
        <f t="shared" si="23"/>
        <v>-112088.61480764716</v>
      </c>
      <c r="R46" s="34">
        <f t="shared" si="23"/>
        <v>-84150.387596155153</v>
      </c>
      <c r="S46" s="34">
        <f t="shared" si="23"/>
        <v>-56156.283930240155</v>
      </c>
      <c r="T46" s="34">
        <f t="shared" si="23"/>
        <v>-28106.192056993325</v>
      </c>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551507000</v>
      </c>
      <c r="F47" s="34">
        <f>E47+F45</f>
        <v>537841550.78652632</v>
      </c>
      <c r="G47" s="27">
        <f>F47+G45</f>
        <v>524148770.67462569</v>
      </c>
      <c r="H47" s="27">
        <f t="shared" ref="H47:T47" si="24">G47+H45</f>
        <v>510428605.00250131</v>
      </c>
      <c r="I47" s="27">
        <f t="shared" si="24"/>
        <v>496680998.99903268</v>
      </c>
      <c r="J47" s="27">
        <f t="shared" si="24"/>
        <v>482905897.78355712</v>
      </c>
      <c r="K47" s="27">
        <f t="shared" si="24"/>
        <v>469103246.36565059</v>
      </c>
      <c r="L47" s="27">
        <f t="shared" si="24"/>
        <v>455272989.64490825</v>
      </c>
      <c r="M47" s="27">
        <f t="shared" si="24"/>
        <v>441415072.4107244</v>
      </c>
      <c r="N47" s="27">
        <f t="shared" si="24"/>
        <v>427529439.34207219</v>
      </c>
      <c r="O47" s="27">
        <f t="shared" si="24"/>
        <v>413616035.00728267</v>
      </c>
      <c r="P47" s="27">
        <f t="shared" si="24"/>
        <v>399674803.86382359</v>
      </c>
      <c r="Q47" s="27">
        <f t="shared" si="24"/>
        <v>385705690.25807756</v>
      </c>
      <c r="R47" s="27">
        <f t="shared" si="24"/>
        <v>371708638.42512006</v>
      </c>
      <c r="S47" s="27">
        <f t="shared" si="24"/>
        <v>357683592.48849666</v>
      </c>
      <c r="T47" s="27">
        <f t="shared" si="24"/>
        <v>343630496.45999998</v>
      </c>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17"/>
        <v>-137016255.10018122</v>
      </c>
      <c r="E48" s="27"/>
      <c r="F48" s="27">
        <f t="shared" ref="F48:T48" si="25">F44*F29</f>
        <v>-10772307.627030095</v>
      </c>
      <c r="G48" s="27">
        <f t="shared" si="25"/>
        <v>-10513158.275538079</v>
      </c>
      <c r="H48" s="27">
        <f t="shared" si="25"/>
        <v>-10260243.278717687</v>
      </c>
      <c r="I48" s="27">
        <f t="shared" si="25"/>
        <v>-10013412.656729311</v>
      </c>
      <c r="J48" s="27">
        <f t="shared" si="25"/>
        <v>-9772520.0377975982</v>
      </c>
      <c r="K48" s="27">
        <f t="shared" si="25"/>
        <v>-9537422.5714122858</v>
      </c>
      <c r="L48" s="27">
        <f t="shared" si="25"/>
        <v>-9307980.8436171208</v>
      </c>
      <c r="M48" s="27">
        <f t="shared" si="25"/>
        <v>-9084058.7943367213</v>
      </c>
      <c r="N48" s="27">
        <f t="shared" si="25"/>
        <v>-8865523.6366922557</v>
      </c>
      <c r="O48" s="27">
        <f t="shared" si="25"/>
        <v>-8652245.7782581914</v>
      </c>
      <c r="P48" s="27">
        <f t="shared" si="25"/>
        <v>-8444098.7442133296</v>
      </c>
      <c r="Q48" s="27">
        <f t="shared" si="25"/>
        <v>-8240959.1023406358</v>
      </c>
      <c r="R48" s="27">
        <f t="shared" si="25"/>
        <v>-8042706.3898312934</v>
      </c>
      <c r="S48" s="27">
        <f t="shared" si="25"/>
        <v>-7849223.0418496961</v>
      </c>
      <c r="T48" s="27">
        <f t="shared" si="25"/>
        <v>-7660394.3218169091</v>
      </c>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17"/>
        <v>-134726445.65030068</v>
      </c>
      <c r="E49" s="27"/>
      <c r="F49" s="27">
        <f t="shared" ref="F49:T49" si="26">F45*F29</f>
        <v>-10454251.027957087</v>
      </c>
      <c r="G49" s="27">
        <f t="shared" si="26"/>
        <v>-10223158.668826431</v>
      </c>
      <c r="H49" s="27">
        <f t="shared" si="26"/>
        <v>-9997174.6314976644</v>
      </c>
      <c r="I49" s="27">
        <f t="shared" si="26"/>
        <v>-9776185.9959602393</v>
      </c>
      <c r="J49" s="27">
        <f t="shared" si="26"/>
        <v>-9560082.338312747</v>
      </c>
      <c r="K49" s="27">
        <f t="shared" si="26"/>
        <v>-9348755.6755861752</v>
      </c>
      <c r="L49" s="27">
        <f t="shared" si="26"/>
        <v>-9142100.4117868021</v>
      </c>
      <c r="M49" s="27">
        <f t="shared" si="26"/>
        <v>-8940013.2851318736</v>
      </c>
      <c r="N49" s="27">
        <f t="shared" si="26"/>
        <v>-8742393.3164516054</v>
      </c>
      <c r="O49" s="27">
        <f t="shared" si="26"/>
        <v>-8549141.7587317694</v>
      </c>
      <c r="P49" s="27">
        <f t="shared" si="26"/>
        <v>-8360162.0477716597</v>
      </c>
      <c r="Q49" s="27">
        <f t="shared" si="26"/>
        <v>-8175359.753932762</v>
      </c>
      <c r="R49" s="27">
        <f t="shared" si="26"/>
        <v>-7994642.5349540096</v>
      </c>
      <c r="S49" s="27">
        <f t="shared" si="26"/>
        <v>-7817920.0898100967</v>
      </c>
      <c r="T49" s="27">
        <f t="shared" si="26"/>
        <v>-7645104.1135897301</v>
      </c>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17"/>
        <v>-2289809.4498805702</v>
      </c>
      <c r="E50" s="27"/>
      <c r="F50" s="27">
        <f t="shared" ref="F50:T50" si="27">F46*F29</f>
        <v>-318056.59907300799</v>
      </c>
      <c r="G50" s="27">
        <f t="shared" si="27"/>
        <v>-289999.60671165155</v>
      </c>
      <c r="H50" s="27">
        <f t="shared" si="27"/>
        <v>-263068.64722002501</v>
      </c>
      <c r="I50" s="27">
        <f t="shared" si="27"/>
        <v>-237226.66076907207</v>
      </c>
      <c r="J50" s="27">
        <f t="shared" si="27"/>
        <v>-212437.69948484996</v>
      </c>
      <c r="K50" s="27">
        <f t="shared" si="27"/>
        <v>-188666.89582611082</v>
      </c>
      <c r="L50" s="27">
        <f t="shared" si="27"/>
        <v>-165880.43183032103</v>
      </c>
      <c r="M50" s="27">
        <f t="shared" si="27"/>
        <v>-144045.50920484797</v>
      </c>
      <c r="N50" s="27">
        <f t="shared" si="27"/>
        <v>-123130.3202406521</v>
      </c>
      <c r="O50" s="27">
        <f t="shared" si="27"/>
        <v>-103104.01952642256</v>
      </c>
      <c r="P50" s="27">
        <f t="shared" si="27"/>
        <v>-83936.696441671811</v>
      </c>
      <c r="Q50" s="27">
        <f t="shared" si="27"/>
        <v>-65599.348407874379</v>
      </c>
      <c r="R50" s="27">
        <f t="shared" si="27"/>
        <v>-48063.854877283804</v>
      </c>
      <c r="S50" s="27">
        <f t="shared" si="27"/>
        <v>-31302.952039599641</v>
      </c>
      <c r="T50" s="27">
        <f t="shared" si="27"/>
        <v>-15290.208227179466</v>
      </c>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39</v>
      </c>
      <c r="B51" s="44"/>
      <c r="C51" s="37"/>
      <c r="D51" s="37">
        <f t="shared" si="17"/>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 t="s">
        <v>24</v>
      </c>
      <c r="D52" s="2"/>
      <c r="E52" s="23"/>
      <c r="F52" s="52"/>
      <c r="G52" s="52"/>
      <c r="H52" s="52"/>
      <c r="I52" s="52"/>
      <c r="J52" s="52"/>
      <c r="K52" s="52"/>
      <c r="L52" s="52"/>
      <c r="M52" s="52"/>
      <c r="N52" s="52"/>
      <c r="O52" s="52"/>
      <c r="P52" s="52"/>
      <c r="Q52" s="52"/>
      <c r="R52" s="52"/>
      <c r="S52" s="52"/>
      <c r="T52" s="52"/>
      <c r="U52" s="23" t="s">
        <v>97</v>
      </c>
      <c r="V52" s="23"/>
      <c r="W52" s="23"/>
      <c r="X52" s="23"/>
      <c r="Y52" s="23"/>
      <c r="Z52" s="23"/>
      <c r="AA52" s="23" t="s">
        <v>98</v>
      </c>
      <c r="AB52" s="52">
        <v>1</v>
      </c>
      <c r="AC52" s="52">
        <v>2</v>
      </c>
      <c r="AD52" s="52">
        <v>3</v>
      </c>
      <c r="AE52" s="52">
        <v>4</v>
      </c>
      <c r="AF52" s="52">
        <v>5</v>
      </c>
      <c r="AG52" s="52">
        <v>6</v>
      </c>
      <c r="AH52" s="52">
        <v>7</v>
      </c>
      <c r="AI52" s="52">
        <v>8</v>
      </c>
      <c r="AJ52" s="52">
        <v>9</v>
      </c>
      <c r="AK52" s="52">
        <v>10</v>
      </c>
      <c r="AL52" s="52">
        <v>11</v>
      </c>
      <c r="AM52" s="52">
        <v>12</v>
      </c>
      <c r="AN52" s="52">
        <v>13</v>
      </c>
      <c r="AO52" s="52">
        <v>14</v>
      </c>
      <c r="AP52" s="52">
        <v>15</v>
      </c>
      <c r="AQ52" s="52">
        <v>16</v>
      </c>
      <c r="AR52" s="52">
        <v>17</v>
      </c>
      <c r="AS52" s="52">
        <v>18</v>
      </c>
      <c r="AT52" s="52">
        <v>19</v>
      </c>
      <c r="AU52" s="52">
        <v>20</v>
      </c>
      <c r="AV52" s="52">
        <v>21</v>
      </c>
      <c r="AW52" s="52">
        <v>22</v>
      </c>
      <c r="AX52" s="52">
        <v>23</v>
      </c>
      <c r="AY52" s="52">
        <v>24</v>
      </c>
      <c r="AZ52" s="52">
        <v>25</v>
      </c>
      <c r="BA52" s="52">
        <v>26</v>
      </c>
      <c r="BB52" s="52">
        <v>27</v>
      </c>
      <c r="BC52" s="52">
        <v>28</v>
      </c>
      <c r="BD52" s="52">
        <v>29</v>
      </c>
      <c r="BE52" s="52">
        <v>30</v>
      </c>
      <c r="BF52" s="52">
        <v>31</v>
      </c>
      <c r="BG52" s="52">
        <v>32</v>
      </c>
      <c r="BH52" s="52">
        <v>33</v>
      </c>
      <c r="BI52" s="52">
        <v>34</v>
      </c>
      <c r="BJ52" s="24"/>
      <c r="BK52" s="23"/>
      <c r="BL52" s="24"/>
      <c r="BM52" s="23"/>
      <c r="BN52" s="24"/>
      <c r="BO52" s="23"/>
      <c r="BP52" s="24"/>
      <c r="BQ52" s="23"/>
      <c r="BR52" s="24"/>
      <c r="BS52" s="23"/>
      <c r="BT52" s="24"/>
      <c r="BU52" s="23"/>
      <c r="BV52" s="24"/>
      <c r="BW52" s="23"/>
    </row>
    <row r="53" spans="1:75">
      <c r="A53" s="41"/>
      <c r="B53" s="26" t="s">
        <v>28</v>
      </c>
      <c r="C53" s="27"/>
      <c r="D53" s="27">
        <f t="shared" si="17"/>
        <v>-355789719.28272307</v>
      </c>
      <c r="E53" s="34"/>
      <c r="F53" s="34"/>
      <c r="G53" s="34"/>
      <c r="H53" s="34"/>
      <c r="I53" s="34"/>
      <c r="J53" s="34"/>
      <c r="K53" s="34"/>
      <c r="L53" s="34"/>
      <c r="M53" s="34"/>
      <c r="N53" s="34"/>
      <c r="O53" s="34"/>
      <c r="P53" s="34"/>
      <c r="Q53" s="34"/>
      <c r="R53" s="34"/>
      <c r="S53" s="34"/>
      <c r="T53" s="34"/>
      <c r="U53" s="34"/>
      <c r="V53" s="34"/>
      <c r="W53" s="34"/>
      <c r="X53" s="34"/>
      <c r="Y53" s="34"/>
      <c r="Z53" s="27"/>
      <c r="AA53" s="27"/>
      <c r="AB53" s="27">
        <f>PMT($D$18,$D$22-$T$43,$D$23)</f>
        <v>-10464403.508315384</v>
      </c>
      <c r="AC53" s="27">
        <f t="shared" ref="AC53:BI53" si="28">PMT($D$18,$D$22-$T$43,$D$23)</f>
        <v>-10464403.508315384</v>
      </c>
      <c r="AD53" s="27">
        <f t="shared" si="28"/>
        <v>-10464403.508315384</v>
      </c>
      <c r="AE53" s="27">
        <f t="shared" si="28"/>
        <v>-10464403.508315384</v>
      </c>
      <c r="AF53" s="27">
        <f t="shared" si="28"/>
        <v>-10464403.508315384</v>
      </c>
      <c r="AG53" s="27">
        <f t="shared" si="28"/>
        <v>-10464403.508315384</v>
      </c>
      <c r="AH53" s="27">
        <f t="shared" si="28"/>
        <v>-10464403.508315384</v>
      </c>
      <c r="AI53" s="27">
        <f t="shared" si="28"/>
        <v>-10464403.508315384</v>
      </c>
      <c r="AJ53" s="27">
        <f t="shared" si="28"/>
        <v>-10464403.508315384</v>
      </c>
      <c r="AK53" s="27">
        <f t="shared" si="28"/>
        <v>-10464403.508315384</v>
      </c>
      <c r="AL53" s="27">
        <f t="shared" si="28"/>
        <v>-10464403.508315384</v>
      </c>
      <c r="AM53" s="27">
        <f t="shared" si="28"/>
        <v>-10464403.508315384</v>
      </c>
      <c r="AN53" s="27">
        <f t="shared" si="28"/>
        <v>-10464403.508315384</v>
      </c>
      <c r="AO53" s="27">
        <f t="shared" si="28"/>
        <v>-10464403.508315384</v>
      </c>
      <c r="AP53" s="27">
        <f t="shared" si="28"/>
        <v>-10464403.508315384</v>
      </c>
      <c r="AQ53" s="27">
        <f t="shared" si="28"/>
        <v>-10464403.508315384</v>
      </c>
      <c r="AR53" s="27">
        <f t="shared" si="28"/>
        <v>-10464403.508315384</v>
      </c>
      <c r="AS53" s="27">
        <f t="shared" si="28"/>
        <v>-10464403.508315384</v>
      </c>
      <c r="AT53" s="27">
        <f t="shared" si="28"/>
        <v>-10464403.508315384</v>
      </c>
      <c r="AU53" s="27">
        <f t="shared" si="28"/>
        <v>-10464403.508315384</v>
      </c>
      <c r="AV53" s="27">
        <f t="shared" si="28"/>
        <v>-10464403.508315384</v>
      </c>
      <c r="AW53" s="27">
        <f t="shared" si="28"/>
        <v>-10464403.508315384</v>
      </c>
      <c r="AX53" s="27">
        <f t="shared" si="28"/>
        <v>-10464403.508315384</v>
      </c>
      <c r="AY53" s="27">
        <f t="shared" si="28"/>
        <v>-10464403.508315384</v>
      </c>
      <c r="AZ53" s="27">
        <f t="shared" si="28"/>
        <v>-10464403.508315384</v>
      </c>
      <c r="BA53" s="27">
        <f t="shared" si="28"/>
        <v>-10464403.508315384</v>
      </c>
      <c r="BB53" s="27">
        <f t="shared" si="28"/>
        <v>-10464403.508315384</v>
      </c>
      <c r="BC53" s="27">
        <f t="shared" si="28"/>
        <v>-10464403.508315384</v>
      </c>
      <c r="BD53" s="27">
        <f t="shared" si="28"/>
        <v>-10464403.508315384</v>
      </c>
      <c r="BE53" s="27">
        <f t="shared" si="28"/>
        <v>-10464403.508315384</v>
      </c>
      <c r="BF53" s="27">
        <f t="shared" si="28"/>
        <v>-10464403.508315384</v>
      </c>
      <c r="BG53" s="27">
        <f t="shared" si="28"/>
        <v>-10464403.508315384</v>
      </c>
      <c r="BH53" s="27">
        <f t="shared" si="28"/>
        <v>-10464403.508315384</v>
      </c>
      <c r="BI53" s="27">
        <f t="shared" si="28"/>
        <v>-10464403.508315384</v>
      </c>
    </row>
    <row r="54" spans="1:75">
      <c r="A54" s="41"/>
      <c r="B54" s="27"/>
      <c r="C54" s="27" t="s">
        <v>29</v>
      </c>
      <c r="D54" s="27">
        <f t="shared" si="17"/>
        <v>-343630496.45999992</v>
      </c>
      <c r="E54" s="34"/>
      <c r="F54" s="34"/>
      <c r="G54" s="34"/>
      <c r="H54" s="34"/>
      <c r="I54" s="34"/>
      <c r="J54" s="34"/>
      <c r="K54" s="34"/>
      <c r="L54" s="34"/>
      <c r="M54" s="34"/>
      <c r="N54" s="34"/>
      <c r="O54" s="34"/>
      <c r="P54" s="34"/>
      <c r="Q54" s="34"/>
      <c r="R54" s="34"/>
      <c r="S54" s="34"/>
      <c r="T54" s="34"/>
      <c r="U54" s="34"/>
      <c r="V54" s="34"/>
      <c r="W54" s="34"/>
      <c r="X54" s="34"/>
      <c r="Y54" s="34"/>
      <c r="Z54" s="27"/>
      <c r="AA54" s="27"/>
      <c r="AB54" s="27">
        <f>PPMT($D$18,AB52, $D$22-$T$43,$D$23)</f>
        <v>-9777142.5153953843</v>
      </c>
      <c r="AC54" s="27">
        <f t="shared" ref="AC54:BI54" si="29">PPMT($D$18,AC52, $D$22-$T$43,$D$23)</f>
        <v>-9796696.800426174</v>
      </c>
      <c r="AD54" s="27">
        <f t="shared" si="29"/>
        <v>-9816290.1940270271</v>
      </c>
      <c r="AE54" s="27">
        <f t="shared" si="29"/>
        <v>-9835922.7744150814</v>
      </c>
      <c r="AF54" s="27">
        <f t="shared" si="29"/>
        <v>-9855594.6199639104</v>
      </c>
      <c r="AG54" s="27">
        <f t="shared" si="29"/>
        <v>-9875305.8092038408</v>
      </c>
      <c r="AH54" s="27">
        <f t="shared" si="29"/>
        <v>-9895056.420822246</v>
      </c>
      <c r="AI54" s="27">
        <f t="shared" si="29"/>
        <v>-9914846.5336638913</v>
      </c>
      <c r="AJ54" s="27">
        <f t="shared" si="29"/>
        <v>-9934676.2267312203</v>
      </c>
      <c r="AK54" s="27">
        <f t="shared" si="29"/>
        <v>-9954545.579184683</v>
      </c>
      <c r="AL54" s="27">
        <f t="shared" si="29"/>
        <v>-9974454.6703430526</v>
      </c>
      <c r="AM54" s="27">
        <f t="shared" si="29"/>
        <v>-9994403.5796837378</v>
      </c>
      <c r="AN54" s="27">
        <f t="shared" si="29"/>
        <v>-10014392.386843104</v>
      </c>
      <c r="AO54" s="27">
        <f t="shared" si="29"/>
        <v>-10034421.171616791</v>
      </c>
      <c r="AP54" s="27">
        <f t="shared" si="29"/>
        <v>-10054490.013960024</v>
      </c>
      <c r="AQ54" s="27">
        <f t="shared" si="29"/>
        <v>-10074598.993987944</v>
      </c>
      <c r="AR54" s="27">
        <f t="shared" si="29"/>
        <v>-10094748.19197592</v>
      </c>
      <c r="AS54" s="27">
        <f t="shared" si="29"/>
        <v>-10114937.688359873</v>
      </c>
      <c r="AT54" s="27">
        <f t="shared" si="29"/>
        <v>-10135167.563736591</v>
      </c>
      <c r="AU54" s="27">
        <f t="shared" si="29"/>
        <v>-10155437.898864066</v>
      </c>
      <c r="AV54" s="27">
        <f t="shared" si="29"/>
        <v>-10175748.774661794</v>
      </c>
      <c r="AW54" s="27">
        <f t="shared" si="29"/>
        <v>-10196100.272211118</v>
      </c>
      <c r="AX54" s="27">
        <f t="shared" si="29"/>
        <v>-10216492.472755538</v>
      </c>
      <c r="AY54" s="27">
        <f t="shared" si="29"/>
        <v>-10236925.45770105</v>
      </c>
      <c r="AZ54" s="27">
        <f t="shared" si="29"/>
        <v>-10257399.308616452</v>
      </c>
      <c r="BA54" s="27">
        <f t="shared" si="29"/>
        <v>-10277914.107233686</v>
      </c>
      <c r="BB54" s="27">
        <f t="shared" si="29"/>
        <v>-10298469.935448153</v>
      </c>
      <c r="BC54" s="27">
        <f t="shared" si="29"/>
        <v>-10319066.875319051</v>
      </c>
      <c r="BD54" s="27">
        <f t="shared" si="29"/>
        <v>-10339705.009069687</v>
      </c>
      <c r="BE54" s="27">
        <f t="shared" si="29"/>
        <v>-10360384.419087825</v>
      </c>
      <c r="BF54" s="27">
        <f t="shared" si="29"/>
        <v>-10381105.187926002</v>
      </c>
      <c r="BG54" s="27">
        <f t="shared" si="29"/>
        <v>-10401867.398301855</v>
      </c>
      <c r="BH54" s="27">
        <f t="shared" si="29"/>
        <v>-10422671.133098457</v>
      </c>
      <c r="BI54" s="27">
        <f t="shared" si="29"/>
        <v>-10443516.475364655</v>
      </c>
    </row>
    <row r="55" spans="1:75">
      <c r="A55" s="41"/>
      <c r="B55" s="27"/>
      <c r="C55" s="27" t="s">
        <v>30</v>
      </c>
      <c r="D55" s="27">
        <f t="shared" si="17"/>
        <v>-12159222.822723174</v>
      </c>
      <c r="E55" s="27"/>
      <c r="F55" s="27"/>
      <c r="G55" s="27"/>
      <c r="H55" s="27"/>
      <c r="I55" s="27"/>
      <c r="J55" s="27"/>
      <c r="K55" s="27"/>
      <c r="L55" s="27"/>
      <c r="M55" s="27"/>
      <c r="N55" s="27"/>
      <c r="O55" s="34"/>
      <c r="P55" s="34"/>
      <c r="Q55" s="34"/>
      <c r="R55" s="34"/>
      <c r="S55" s="34"/>
      <c r="T55" s="34"/>
      <c r="U55" s="27"/>
      <c r="V55" s="27"/>
      <c r="W55" s="27"/>
      <c r="X55" s="27"/>
      <c r="Y55" s="27"/>
      <c r="Z55" s="27"/>
      <c r="AA55" s="27"/>
      <c r="AB55" s="27">
        <f>IPMT($D$18, AB52, $D$22-$T$43,$D$23)</f>
        <v>-687260.99291999999</v>
      </c>
      <c r="AC55" s="27">
        <f t="shared" ref="AC55:BI55" si="30">IPMT($D$18, AC52, $D$22-$T$43,$D$23)</f>
        <v>-667706.70788920915</v>
      </c>
      <c r="AD55" s="27">
        <f t="shared" si="30"/>
        <v>-648113.31428835692</v>
      </c>
      <c r="AE55" s="27">
        <f t="shared" si="30"/>
        <v>-628480.73390030279</v>
      </c>
      <c r="AF55" s="27">
        <f t="shared" si="30"/>
        <v>-608808.88835147268</v>
      </c>
      <c r="AG55" s="27">
        <f t="shared" si="30"/>
        <v>-589097.69911154488</v>
      </c>
      <c r="AH55" s="27">
        <f t="shared" si="30"/>
        <v>-569347.08749313699</v>
      </c>
      <c r="AI55" s="27">
        <f t="shared" si="30"/>
        <v>-549556.97465149255</v>
      </c>
      <c r="AJ55" s="27">
        <f t="shared" si="30"/>
        <v>-529727.28158416483</v>
      </c>
      <c r="AK55" s="27">
        <f t="shared" si="30"/>
        <v>-509857.9291307024</v>
      </c>
      <c r="AL55" s="27">
        <f t="shared" si="30"/>
        <v>-489948.83797233296</v>
      </c>
      <c r="AM55" s="27">
        <f t="shared" si="30"/>
        <v>-469999.92863164691</v>
      </c>
      <c r="AN55" s="27">
        <f t="shared" si="30"/>
        <v>-450011.12147227937</v>
      </c>
      <c r="AO55" s="27">
        <f t="shared" si="30"/>
        <v>-429982.33669859322</v>
      </c>
      <c r="AP55" s="27">
        <f t="shared" si="30"/>
        <v>-409913.49435535964</v>
      </c>
      <c r="AQ55" s="27">
        <f t="shared" si="30"/>
        <v>-389804.51432743954</v>
      </c>
      <c r="AR55" s="27">
        <f t="shared" si="30"/>
        <v>-369655.31633946364</v>
      </c>
      <c r="AS55" s="27">
        <f t="shared" si="30"/>
        <v>-349465.81995551178</v>
      </c>
      <c r="AT55" s="27">
        <f t="shared" si="30"/>
        <v>-329235.94457879203</v>
      </c>
      <c r="AU55" s="27">
        <f t="shared" si="30"/>
        <v>-308965.60945131886</v>
      </c>
      <c r="AV55" s="27">
        <f t="shared" si="30"/>
        <v>-288654.73365359072</v>
      </c>
      <c r="AW55" s="27">
        <f t="shared" si="30"/>
        <v>-268303.23610426713</v>
      </c>
      <c r="AX55" s="27">
        <f t="shared" si="30"/>
        <v>-247911.0355598449</v>
      </c>
      <c r="AY55" s="27">
        <f t="shared" si="30"/>
        <v>-227478.0506143338</v>
      </c>
      <c r="AZ55" s="27">
        <f t="shared" si="30"/>
        <v>-207004.19969893171</v>
      </c>
      <c r="BA55" s="27">
        <f t="shared" si="30"/>
        <v>-186489.40108169877</v>
      </c>
      <c r="BB55" s="27">
        <f t="shared" si="30"/>
        <v>-165933.57286723144</v>
      </c>
      <c r="BC55" s="27">
        <f t="shared" si="30"/>
        <v>-145336.6329963351</v>
      </c>
      <c r="BD55" s="27">
        <f t="shared" si="30"/>
        <v>-124698.49924569701</v>
      </c>
      <c r="BE55" s="27">
        <f t="shared" si="30"/>
        <v>-104019.08922755765</v>
      </c>
      <c r="BF55" s="27">
        <f t="shared" si="30"/>
        <v>-83298.320389381959</v>
      </c>
      <c r="BG55" s="27">
        <f t="shared" si="30"/>
        <v>-62536.110013529957</v>
      </c>
      <c r="BH55" s="27">
        <f t="shared" si="30"/>
        <v>-41732.375216926237</v>
      </c>
      <c r="BI55" s="27">
        <f t="shared" si="30"/>
        <v>-20887.032950729317</v>
      </c>
    </row>
    <row r="56" spans="1:75">
      <c r="A56" s="41"/>
      <c r="B56" s="33" t="s">
        <v>31</v>
      </c>
      <c r="C56" s="42"/>
      <c r="D56" s="27"/>
      <c r="E56" s="27">
        <f>D23</f>
        <v>343630496.45999998</v>
      </c>
      <c r="F56" s="27"/>
      <c r="G56" s="27"/>
      <c r="H56" s="27"/>
      <c r="I56" s="27"/>
      <c r="J56" s="27"/>
      <c r="K56" s="27"/>
      <c r="L56" s="27"/>
      <c r="M56" s="27"/>
      <c r="N56" s="27"/>
      <c r="O56" s="27"/>
      <c r="P56" s="27"/>
      <c r="Q56" s="27"/>
      <c r="R56" s="27"/>
      <c r="S56" s="27"/>
      <c r="T56" s="27"/>
      <c r="U56" s="27"/>
      <c r="V56" s="27"/>
      <c r="W56" s="27"/>
      <c r="X56" s="27"/>
      <c r="Y56" s="27"/>
      <c r="Z56" s="27"/>
      <c r="AA56" s="27"/>
      <c r="AB56" s="27">
        <f>E56+AB54</f>
        <v>333853353.94460458</v>
      </c>
      <c r="AC56" s="27">
        <f>AB56+AC54</f>
        <v>324056657.14417839</v>
      </c>
      <c r="AD56" s="27">
        <f t="shared" ref="AD56:BI56" si="31">AC56+AD54</f>
        <v>314240366.95015138</v>
      </c>
      <c r="AE56" s="27">
        <f t="shared" si="31"/>
        <v>304404444.17573631</v>
      </c>
      <c r="AF56" s="27">
        <f t="shared" si="31"/>
        <v>294548849.55577242</v>
      </c>
      <c r="AG56" s="27">
        <f t="shared" si="31"/>
        <v>284673543.74656856</v>
      </c>
      <c r="AH56" s="27">
        <f t="shared" si="31"/>
        <v>274778487.3257463</v>
      </c>
      <c r="AI56" s="27">
        <f t="shared" si="31"/>
        <v>264863640.7920824</v>
      </c>
      <c r="AJ56" s="27">
        <f t="shared" si="31"/>
        <v>254928964.56535119</v>
      </c>
      <c r="AK56" s="27">
        <f t="shared" si="31"/>
        <v>244974418.98616651</v>
      </c>
      <c r="AL56" s="27">
        <f t="shared" si="31"/>
        <v>234999964.31582347</v>
      </c>
      <c r="AM56" s="27">
        <f t="shared" si="31"/>
        <v>225005560.73613971</v>
      </c>
      <c r="AN56" s="27">
        <f t="shared" si="31"/>
        <v>214991168.3492966</v>
      </c>
      <c r="AO56" s="27">
        <f t="shared" si="31"/>
        <v>204956747.17767981</v>
      </c>
      <c r="AP56" s="27">
        <f t="shared" si="31"/>
        <v>194902257.16371977</v>
      </c>
      <c r="AQ56" s="27">
        <f t="shared" si="31"/>
        <v>184827658.16973183</v>
      </c>
      <c r="AR56" s="27">
        <f t="shared" si="31"/>
        <v>174732909.9777559</v>
      </c>
      <c r="AS56" s="27">
        <f t="shared" si="31"/>
        <v>164617972.28939602</v>
      </c>
      <c r="AT56" s="27">
        <f t="shared" si="31"/>
        <v>154482804.72565943</v>
      </c>
      <c r="AU56" s="27">
        <f t="shared" si="31"/>
        <v>144327366.82679537</v>
      </c>
      <c r="AV56" s="27">
        <f t="shared" si="31"/>
        <v>134151618.05213358</v>
      </c>
      <c r="AW56" s="27">
        <f t="shared" si="31"/>
        <v>123955517.77992246</v>
      </c>
      <c r="AX56" s="27">
        <f t="shared" si="31"/>
        <v>113739025.30716692</v>
      </c>
      <c r="AY56" s="27">
        <f t="shared" si="31"/>
        <v>103502099.84946588</v>
      </c>
      <c r="AZ56" s="27">
        <f t="shared" si="31"/>
        <v>93244700.540849417</v>
      </c>
      <c r="BA56" s="27">
        <f t="shared" si="31"/>
        <v>82966786.433615729</v>
      </c>
      <c r="BB56" s="27">
        <f t="shared" si="31"/>
        <v>72668316.498167574</v>
      </c>
      <c r="BC56" s="27">
        <f t="shared" si="31"/>
        <v>62349249.622848526</v>
      </c>
      <c r="BD56" s="27">
        <f t="shared" si="31"/>
        <v>52009544.613778837</v>
      </c>
      <c r="BE56" s="27">
        <f t="shared" si="31"/>
        <v>41649160.19469101</v>
      </c>
      <c r="BF56" s="27">
        <f t="shared" si="31"/>
        <v>31268055.006765008</v>
      </c>
      <c r="BG56" s="27">
        <f t="shared" si="31"/>
        <v>20866187.608463153</v>
      </c>
      <c r="BH56" s="27">
        <f t="shared" si="31"/>
        <v>10443516.475364696</v>
      </c>
      <c r="BI56" s="27">
        <f t="shared" si="31"/>
        <v>4.0978193283081055E-8</v>
      </c>
    </row>
    <row r="57" spans="1:75" ht="21">
      <c r="A57" s="43"/>
      <c r="B57" s="26" t="s">
        <v>32</v>
      </c>
      <c r="C57" s="27"/>
      <c r="D57" s="27">
        <f t="shared" si="17"/>
        <v>-109654710.52347885</v>
      </c>
      <c r="E57" s="27"/>
      <c r="F57" s="27"/>
      <c r="G57" s="27"/>
      <c r="H57" s="27"/>
      <c r="I57" s="27"/>
      <c r="J57" s="27"/>
      <c r="K57" s="27"/>
      <c r="L57" s="27"/>
      <c r="M57" s="27"/>
      <c r="N57" s="27"/>
      <c r="O57" s="27"/>
      <c r="P57" s="27"/>
      <c r="Q57" s="27"/>
      <c r="R57" s="27"/>
      <c r="S57" s="27"/>
      <c r="T57" s="27"/>
      <c r="U57" s="27"/>
      <c r="V57" s="27"/>
      <c r="W57" s="27"/>
      <c r="X57" s="27"/>
      <c r="Y57" s="27"/>
      <c r="Z57" s="27"/>
      <c r="AA57" s="27"/>
      <c r="AB57" s="27">
        <f>AB53*AB29</f>
        <v>-4685128.5644842228</v>
      </c>
      <c r="AC57" s="27">
        <f t="shared" ref="AC57:BI57" si="32">AC53*AC29</f>
        <v>-4572418.4496991383</v>
      </c>
      <c r="AD57" s="27">
        <f t="shared" si="32"/>
        <v>-4462419.8015899453</v>
      </c>
      <c r="AE57" s="27">
        <f t="shared" si="32"/>
        <v>-4355067.3904161863</v>
      </c>
      <c r="AF57" s="27">
        <f t="shared" si="32"/>
        <v>-4250297.5556689464</v>
      </c>
      <c r="AG57" s="27">
        <f t="shared" si="32"/>
        <v>-4148048.1683198623</v>
      </c>
      <c r="AH57" s="27">
        <f t="shared" si="32"/>
        <v>-4048258.593978297</v>
      </c>
      <c r="AI57" s="27">
        <f t="shared" si="32"/>
        <v>-3950869.6569348518</v>
      </c>
      <c r="AJ57" s="27">
        <f t="shared" si="32"/>
        <v>-3855823.605069879</v>
      </c>
      <c r="AK57" s="27">
        <f t="shared" si="32"/>
        <v>-3763064.0756061859</v>
      </c>
      <c r="AL57" s="27">
        <f t="shared" si="32"/>
        <v>-3672536.0616856357</v>
      </c>
      <c r="AM57" s="27">
        <f t="shared" si="32"/>
        <v>-3584185.8797498019</v>
      </c>
      <c r="AN57" s="27">
        <f t="shared" si="32"/>
        <v>-3497961.1377053647</v>
      </c>
      <c r="AO57" s="27">
        <f t="shared" si="32"/>
        <v>-3413810.7038553306</v>
      </c>
      <c r="AP57" s="27">
        <f t="shared" si="32"/>
        <v>-3331684.6765776905</v>
      </c>
      <c r="AQ57" s="27">
        <f t="shared" si="32"/>
        <v>-3251534.3547335085</v>
      </c>
      <c r="AR57" s="27">
        <f t="shared" si="32"/>
        <v>-3173312.2087869109</v>
      </c>
      <c r="AS57" s="27">
        <f t="shared" si="32"/>
        <v>-3096971.8526198319</v>
      </c>
      <c r="AT57" s="27">
        <f t="shared" si="32"/>
        <v>-3022468.01602482</v>
      </c>
      <c r="AU57" s="27">
        <f t="shared" si="32"/>
        <v>-2949756.5178595809</v>
      </c>
      <c r="AV57" s="27">
        <f t="shared" si="32"/>
        <v>-2878794.2398473434</v>
      </c>
      <c r="AW57" s="27">
        <f t="shared" si="32"/>
        <v>-2809539.101007509</v>
      </c>
      <c r="AX57" s="27">
        <f t="shared" si="32"/>
        <v>-2741950.0327014187</v>
      </c>
      <c r="AY57" s="27">
        <f t="shared" si="32"/>
        <v>-2675986.9542784537</v>
      </c>
      <c r="AZ57" s="27">
        <f t="shared" si="32"/>
        <v>-2611610.7493080115</v>
      </c>
      <c r="BA57" s="27">
        <f t="shared" si="32"/>
        <v>-2548783.2423832635</v>
      </c>
      <c r="BB57" s="27">
        <f t="shared" si="32"/>
        <v>-2487467.1764829583</v>
      </c>
      <c r="BC57" s="27">
        <f t="shared" si="32"/>
        <v>-2427626.1908778204</v>
      </c>
      <c r="BD57" s="27">
        <f t="shared" si="32"/>
        <v>-2369224.7995684575</v>
      </c>
      <c r="BE57" s="27">
        <f t="shared" si="32"/>
        <v>-2312228.3702419922</v>
      </c>
      <c r="BF57" s="27">
        <f t="shared" si="32"/>
        <v>-2256603.1037349263</v>
      </c>
      <c r="BG57" s="27">
        <f t="shared" si="32"/>
        <v>-2202316.0139900702</v>
      </c>
      <c r="BH57" s="27">
        <f t="shared" si="32"/>
        <v>-2149334.9084956525</v>
      </c>
      <c r="BI57" s="27">
        <f t="shared" si="32"/>
        <v>-2097628.3691949956</v>
      </c>
    </row>
    <row r="58" spans="1:75">
      <c r="A58" s="27"/>
      <c r="B58" s="27"/>
      <c r="C58" s="27" t="s">
        <v>29</v>
      </c>
      <c r="D58" s="27">
        <f t="shared" si="17"/>
        <v>-105417347.173896</v>
      </c>
      <c r="E58" s="27"/>
      <c r="F58" s="27"/>
      <c r="G58" s="27"/>
      <c r="H58" s="27"/>
      <c r="I58" s="27"/>
      <c r="J58" s="27"/>
      <c r="K58" s="27"/>
      <c r="L58" s="27"/>
      <c r="M58" s="27"/>
      <c r="N58" s="27"/>
      <c r="O58" s="27"/>
      <c r="P58" s="27"/>
      <c r="Q58" s="27"/>
      <c r="R58" s="27"/>
      <c r="S58" s="27"/>
      <c r="T58" s="27"/>
      <c r="U58" s="27"/>
      <c r="V58" s="27"/>
      <c r="W58" s="27"/>
      <c r="X58" s="27"/>
      <c r="Y58" s="27"/>
      <c r="Z58" s="27"/>
      <c r="AA58" s="27"/>
      <c r="AB58" s="27">
        <f>AB54*AB29</f>
        <v>-4377427.6901222365</v>
      </c>
      <c r="AC58" s="27">
        <f t="shared" ref="AC58:BI58" si="33">AC54*AC29</f>
        <v>-4280664.1736226808</v>
      </c>
      <c r="AD58" s="27">
        <f t="shared" si="33"/>
        <v>-4186039.6252085352</v>
      </c>
      <c r="AE58" s="27">
        <f t="shared" si="33"/>
        <v>-4093506.7627569926</v>
      </c>
      <c r="AF58" s="27">
        <f t="shared" si="33"/>
        <v>-4003019.3493217248</v>
      </c>
      <c r="AG58" s="27">
        <f t="shared" si="33"/>
        <v>-3914532.1700291513</v>
      </c>
      <c r="AH58" s="27">
        <f t="shared" si="33"/>
        <v>-3828001.0094853933</v>
      </c>
      <c r="AI58" s="27">
        <f t="shared" si="33"/>
        <v>-3743382.6296826852</v>
      </c>
      <c r="AJ58" s="27">
        <f t="shared" si="33"/>
        <v>-3660634.7483941354</v>
      </c>
      <c r="AK58" s="27">
        <f t="shared" si="33"/>
        <v>-3579716.0180460871</v>
      </c>
      <c r="AL58" s="27">
        <f t="shared" si="33"/>
        <v>-3500586.0050575123</v>
      </c>
      <c r="AM58" s="27">
        <f t="shared" si="33"/>
        <v>-3423205.1696360963</v>
      </c>
      <c r="AN58" s="27">
        <f t="shared" si="33"/>
        <v>-3347534.8460209519</v>
      </c>
      <c r="AO58" s="27">
        <f t="shared" si="33"/>
        <v>-3273537.223162049</v>
      </c>
      <c r="AP58" s="27">
        <f t="shared" si="33"/>
        <v>-3201175.3258267441</v>
      </c>
      <c r="AQ58" s="27">
        <f t="shared" si="33"/>
        <v>-3130412.9961239411</v>
      </c>
      <c r="AR58" s="27">
        <f t="shared" si="33"/>
        <v>-3061214.8754366748</v>
      </c>
      <c r="AS58" s="27">
        <f t="shared" si="33"/>
        <v>-2993546.3867540606</v>
      </c>
      <c r="AT58" s="27">
        <f t="shared" si="33"/>
        <v>-2927373.7173938109</v>
      </c>
      <c r="AU58" s="27">
        <f t="shared" si="33"/>
        <v>-2862663.8021066692</v>
      </c>
      <c r="AV58" s="27">
        <f t="shared" si="33"/>
        <v>-2799384.3065543179</v>
      </c>
      <c r="AW58" s="27">
        <f t="shared" si="33"/>
        <v>-2737503.6111525176</v>
      </c>
      <c r="AX58" s="27">
        <f t="shared" si="33"/>
        <v>-2676990.7952713827</v>
      </c>
      <c r="AY58" s="27">
        <f t="shared" si="33"/>
        <v>-2617815.6217849259</v>
      </c>
      <c r="AZ58" s="27">
        <f t="shared" si="33"/>
        <v>-2559948.5219621295</v>
      </c>
      <c r="BA58" s="27">
        <f t="shared" si="33"/>
        <v>-2503360.580691996</v>
      </c>
      <c r="BB58" s="27">
        <f t="shared" si="33"/>
        <v>-2448023.5220352113</v>
      </c>
      <c r="BC58" s="27">
        <f t="shared" si="33"/>
        <v>-2393909.6950951861</v>
      </c>
      <c r="BD58" s="27">
        <f t="shared" si="33"/>
        <v>-2340992.0602014111</v>
      </c>
      <c r="BE58" s="27">
        <f t="shared" si="33"/>
        <v>-2289244.1753982469</v>
      </c>
      <c r="BF58" s="27">
        <f t="shared" si="33"/>
        <v>-2238640.1832323656</v>
      </c>
      <c r="BG58" s="27">
        <f t="shared" si="33"/>
        <v>-2189154.7978322646</v>
      </c>
      <c r="BH58" s="27">
        <f t="shared" si="33"/>
        <v>-2140763.2922733896</v>
      </c>
      <c r="BI58" s="27">
        <f t="shared" si="33"/>
        <v>-2093441.4862225505</v>
      </c>
    </row>
    <row r="59" spans="1:75">
      <c r="A59" s="27"/>
      <c r="B59" s="27"/>
      <c r="C59" s="27" t="s">
        <v>30</v>
      </c>
      <c r="D59" s="27">
        <f t="shared" si="17"/>
        <v>-4237363.3495828332</v>
      </c>
      <c r="E59" s="27"/>
      <c r="F59" s="27"/>
      <c r="G59" s="27"/>
      <c r="H59" s="27"/>
      <c r="I59" s="27"/>
      <c r="J59" s="27"/>
      <c r="K59" s="27"/>
      <c r="L59" s="27"/>
      <c r="M59" s="27"/>
      <c r="N59" s="27"/>
      <c r="O59" s="27"/>
      <c r="P59" s="27"/>
      <c r="Q59" s="27"/>
      <c r="R59" s="27"/>
      <c r="S59" s="27"/>
      <c r="T59" s="27"/>
      <c r="U59" s="27"/>
      <c r="V59" s="27"/>
      <c r="W59" s="27"/>
      <c r="X59" s="27"/>
      <c r="Y59" s="27"/>
      <c r="Z59" s="27"/>
      <c r="AA59" s="27"/>
      <c r="AB59" s="27">
        <f>AB55*AB29</f>
        <v>-307700.87436198635</v>
      </c>
      <c r="AC59" s="27">
        <f t="shared" ref="AC59:BI59" si="34">AC55*AC29</f>
        <v>-291754.27607645711</v>
      </c>
      <c r="AD59" s="27">
        <f t="shared" si="34"/>
        <v>-276380.17638140998</v>
      </c>
      <c r="AE59" s="27">
        <f t="shared" si="34"/>
        <v>-261560.62765919376</v>
      </c>
      <c r="AF59" s="27">
        <f t="shared" si="34"/>
        <v>-247278.20634722078</v>
      </c>
      <c r="AG59" s="27">
        <f t="shared" si="34"/>
        <v>-233515.99829071134</v>
      </c>
      <c r="AH59" s="27">
        <f t="shared" si="34"/>
        <v>-220257.58449290288</v>
      </c>
      <c r="AI59" s="27">
        <f t="shared" si="34"/>
        <v>-207487.02725216615</v>
      </c>
      <c r="AJ59" s="27">
        <f t="shared" si="34"/>
        <v>-195188.85667574371</v>
      </c>
      <c r="AK59" s="27">
        <f t="shared" si="34"/>
        <v>-183348.057560099</v>
      </c>
      <c r="AL59" s="27">
        <f t="shared" si="34"/>
        <v>-171950.05662812357</v>
      </c>
      <c r="AM59" s="27">
        <f t="shared" si="34"/>
        <v>-160980.71011370566</v>
      </c>
      <c r="AN59" s="27">
        <f t="shared" si="34"/>
        <v>-150426.29168441269</v>
      </c>
      <c r="AO59" s="27">
        <f t="shared" si="34"/>
        <v>-140273.4806932814</v>
      </c>
      <c r="AP59" s="27">
        <f t="shared" si="34"/>
        <v>-130509.35075094647</v>
      </c>
      <c r="AQ59" s="27">
        <f t="shared" si="34"/>
        <v>-121121.35860956711</v>
      </c>
      <c r="AR59" s="27">
        <f t="shared" si="34"/>
        <v>-112097.3333502359</v>
      </c>
      <c r="AS59" s="27">
        <f t="shared" si="34"/>
        <v>-103425.46586577127</v>
      </c>
      <c r="AT59" s="27">
        <f t="shared" si="34"/>
        <v>-95094.298631008773</v>
      </c>
      <c r="AU59" s="27">
        <f t="shared" si="34"/>
        <v>-87092.71575291187</v>
      </c>
      <c r="AV59" s="27">
        <f t="shared" si="34"/>
        <v>-79409.933293025446</v>
      </c>
      <c r="AW59" s="27">
        <f t="shared" si="34"/>
        <v>-72035.489854991276</v>
      </c>
      <c r="AX59" s="27">
        <f t="shared" si="34"/>
        <v>-64959.237430035857</v>
      </c>
      <c r="AY59" s="27">
        <f t="shared" si="34"/>
        <v>-58171.33249352761</v>
      </c>
      <c r="AZ59" s="27">
        <f t="shared" si="34"/>
        <v>-51662.22734588178</v>
      </c>
      <c r="BA59" s="27">
        <f t="shared" si="34"/>
        <v>-45422.661691267756</v>
      </c>
      <c r="BB59" s="27">
        <f t="shared" si="34"/>
        <v>-39443.654447746812</v>
      </c>
      <c r="BC59" s="27">
        <f t="shared" si="34"/>
        <v>-33716.49578263444</v>
      </c>
      <c r="BD59" s="27">
        <f t="shared" si="34"/>
        <v>-28232.739367046375</v>
      </c>
      <c r="BE59" s="27">
        <f t="shared" si="34"/>
        <v>-22984.194843745234</v>
      </c>
      <c r="BF59" s="27">
        <f t="shared" si="34"/>
        <v>-17962.920502560613</v>
      </c>
      <c r="BG59" s="27">
        <f t="shared" si="34"/>
        <v>-13161.21615780596</v>
      </c>
      <c r="BH59" s="27">
        <f t="shared" si="34"/>
        <v>-8571.6162222626554</v>
      </c>
      <c r="BI59" s="27">
        <f t="shared" si="34"/>
        <v>-4186.8829724451025</v>
      </c>
    </row>
    <row r="60" spans="1:75">
      <c r="A60" s="24"/>
      <c r="C60" s="47"/>
      <c r="D60" s="47"/>
      <c r="E60" s="47"/>
      <c r="F60" s="47"/>
      <c r="G60" s="45"/>
    </row>
    <row r="61" spans="1:75">
      <c r="A61" s="24"/>
      <c r="C61" s="47"/>
      <c r="D61" s="47"/>
      <c r="E61" s="47"/>
      <c r="F61" s="47"/>
      <c r="G61" s="45"/>
      <c r="J61" s="48"/>
    </row>
    <row r="62" spans="1:75">
      <c r="A62" s="24"/>
      <c r="C62" s="47"/>
      <c r="D62" s="47"/>
      <c r="E62" s="47"/>
      <c r="F62" s="47"/>
      <c r="G62" s="45"/>
    </row>
    <row r="63" spans="1:75">
      <c r="A63" s="24"/>
      <c r="C63" s="47"/>
      <c r="D63" s="47"/>
      <c r="E63" s="47"/>
      <c r="F63" s="47"/>
      <c r="G63" s="45"/>
      <c r="J63" s="45"/>
    </row>
    <row r="64" spans="1:75">
      <c r="A64" s="24"/>
      <c r="C64" s="47"/>
      <c r="D64" s="47"/>
      <c r="E64" s="47"/>
      <c r="F64" s="47"/>
      <c r="G64" s="45"/>
    </row>
    <row r="65" spans="1:7">
      <c r="A65" s="24"/>
      <c r="C65" s="47"/>
      <c r="D65" s="47"/>
      <c r="E65" s="47"/>
      <c r="F65" s="47"/>
      <c r="G65" s="45"/>
    </row>
    <row r="66" spans="1:7">
      <c r="A66" s="24"/>
      <c r="C66" s="47"/>
      <c r="D66" s="47"/>
      <c r="E66" s="47"/>
      <c r="F66" s="47"/>
      <c r="G66" s="45"/>
    </row>
    <row r="67" spans="1:7">
      <c r="A67" s="24"/>
      <c r="C67" s="47"/>
      <c r="D67" s="47"/>
      <c r="E67" s="47"/>
      <c r="F67" s="47"/>
      <c r="G67" s="45"/>
    </row>
    <row r="68" spans="1:7">
      <c r="A68" s="24"/>
      <c r="C68" s="47"/>
      <c r="D68" s="47"/>
      <c r="E68" s="47"/>
      <c r="F68" s="47"/>
      <c r="G68" s="45"/>
    </row>
    <row r="69" spans="1:7">
      <c r="A69" s="24"/>
      <c r="C69" s="47"/>
      <c r="D69" s="47"/>
      <c r="E69" s="47"/>
      <c r="F69" s="47"/>
      <c r="G69" s="45"/>
    </row>
    <row r="70" spans="1:7">
      <c r="A70" s="24"/>
      <c r="C70" s="47"/>
      <c r="D70" s="47"/>
      <c r="E70" s="47"/>
      <c r="F70" s="47"/>
      <c r="G70" s="45"/>
    </row>
    <row r="71" spans="1:7">
      <c r="A71" s="24"/>
      <c r="C71" s="47"/>
      <c r="D71" s="47"/>
      <c r="E71" s="47"/>
      <c r="F71" s="47"/>
      <c r="G71" s="45"/>
    </row>
    <row r="72" spans="1:7">
      <c r="A72" s="24"/>
      <c r="C72" s="47"/>
      <c r="D72" s="47"/>
      <c r="E72" s="47"/>
      <c r="F72" s="47"/>
      <c r="G72" s="45"/>
    </row>
    <row r="73" spans="1:7">
      <c r="A73" s="24"/>
      <c r="C73" s="47"/>
      <c r="D73" s="47"/>
      <c r="E73" s="47"/>
      <c r="F73" s="47"/>
      <c r="G73" s="45"/>
    </row>
    <row r="74" spans="1:7">
      <c r="A74" s="24"/>
      <c r="C74" s="47"/>
      <c r="D74" s="47"/>
      <c r="E74" s="47"/>
      <c r="F74" s="47"/>
      <c r="G74" s="45"/>
    </row>
    <row r="75" spans="1:7">
      <c r="A75" s="24"/>
      <c r="C75" s="47"/>
      <c r="D75" s="47"/>
      <c r="E75" s="47"/>
      <c r="F75" s="47"/>
      <c r="G75" s="45"/>
    </row>
    <row r="76" spans="1:7">
      <c r="A76" s="24"/>
      <c r="C76" s="47"/>
      <c r="D76" s="47"/>
      <c r="E76" s="47"/>
      <c r="F76" s="47"/>
      <c r="G76" s="45"/>
    </row>
    <row r="77" spans="1:7">
      <c r="A77" s="24"/>
      <c r="C77" s="47"/>
      <c r="D77" s="47"/>
      <c r="E77" s="47"/>
      <c r="F77" s="47"/>
      <c r="G77" s="45"/>
    </row>
    <row r="78" spans="1:7">
      <c r="A78" s="24"/>
      <c r="C78" s="47"/>
      <c r="D78" s="47"/>
      <c r="E78" s="47"/>
      <c r="F78" s="47"/>
      <c r="G78" s="45"/>
    </row>
    <row r="79" spans="1:7">
      <c r="A79" s="24"/>
      <c r="C79" s="47"/>
      <c r="D79" s="47"/>
      <c r="E79" s="47"/>
      <c r="F79" s="47"/>
      <c r="G79" s="45"/>
    </row>
    <row r="80" spans="1:7">
      <c r="A80" s="24"/>
      <c r="C80" s="47"/>
      <c r="D80" s="47"/>
      <c r="E80" s="47"/>
      <c r="F80" s="47"/>
      <c r="G80" s="45"/>
    </row>
    <row r="81" spans="1:7">
      <c r="A81" s="24"/>
      <c r="C81" s="47"/>
      <c r="D81" s="47"/>
      <c r="E81" s="47"/>
      <c r="F81" s="47"/>
      <c r="G81" s="45"/>
    </row>
  </sheetData>
  <mergeCells count="5">
    <mergeCell ref="A6:D6"/>
    <mergeCell ref="F6:G6"/>
    <mergeCell ref="F11:G11"/>
    <mergeCell ref="A16:D16"/>
    <mergeCell ref="F17:G17"/>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1F37D-FE36-E14C-8599-B79D4E1BF5EC}">
  <sheetPr>
    <tabColor rgb="FF0070C0"/>
  </sheetPr>
  <dimension ref="A1:BX72"/>
  <sheetViews>
    <sheetView topLeftCell="A4" zoomScale="86" zoomScaleNormal="86" workbookViewId="0">
      <pane xSplit="4" ySplit="26" topLeftCell="E30" activePane="bottomRight" state="frozen"/>
      <selection activeCell="I59" sqref="I59"/>
      <selection pane="topRight" activeCell="I59" sqref="I59"/>
      <selection pane="bottomLeft" activeCell="I59" sqref="I59"/>
      <selection pane="bottomRight" activeCell="C25" sqref="C25"/>
    </sheetView>
  </sheetViews>
  <sheetFormatPr defaultColWidth="20.5" defaultRowHeight="15.6"/>
  <cols>
    <col min="1" max="1" width="9.5" customWidth="1"/>
    <col min="2" max="2" width="9.19921875" customWidth="1"/>
    <col min="3" max="3" width="20.296875" customWidth="1"/>
    <col min="4" max="4" width="2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41</v>
      </c>
    </row>
    <row r="5" spans="1:7" ht="21">
      <c r="A5" s="1"/>
    </row>
    <row r="6" spans="1:7" ht="21">
      <c r="A6" s="347" t="s">
        <v>1</v>
      </c>
      <c r="B6" s="348"/>
      <c r="C6" s="348"/>
      <c r="D6" s="349"/>
      <c r="F6" s="321" t="s">
        <v>2</v>
      </c>
      <c r="G6" s="322"/>
    </row>
    <row r="7" spans="1:7">
      <c r="A7" s="4" t="s">
        <v>3</v>
      </c>
      <c r="D7" s="115">
        <f>Data!D22</f>
        <v>1997</v>
      </c>
      <c r="F7" s="6" t="s">
        <v>4</v>
      </c>
      <c r="G7" s="7">
        <f>D13</f>
        <v>50000000</v>
      </c>
    </row>
    <row r="8" spans="1:7">
      <c r="A8" s="4" t="s">
        <v>5</v>
      </c>
      <c r="D8" s="8">
        <f>Data!F22</f>
        <v>0.02</v>
      </c>
      <c r="F8" s="6" t="s">
        <v>6</v>
      </c>
      <c r="G8" s="9">
        <f>D33*-1</f>
        <v>56735757.973770887</v>
      </c>
    </row>
    <row r="9" spans="1:7">
      <c r="A9" s="4" t="s">
        <v>7</v>
      </c>
      <c r="D9" s="10">
        <f>Data!G22</f>
        <v>8</v>
      </c>
      <c r="F9" s="11" t="s">
        <v>8</v>
      </c>
      <c r="G9" s="12">
        <f>D37*-1</f>
        <v>25792547.31352381</v>
      </c>
    </row>
    <row r="10" spans="1:7">
      <c r="A10" s="4" t="s">
        <v>9</v>
      </c>
      <c r="D10" s="10">
        <f>Data!E22</f>
        <v>14</v>
      </c>
    </row>
    <row r="11" spans="1:7">
      <c r="A11" s="4" t="s">
        <v>10</v>
      </c>
      <c r="D11" s="10">
        <v>2</v>
      </c>
      <c r="F11" s="321" t="s">
        <v>11</v>
      </c>
      <c r="G11" s="322"/>
    </row>
    <row r="12" spans="1:7">
      <c r="A12" s="4" t="s">
        <v>12</v>
      </c>
      <c r="D12" s="10">
        <f>(D10-D9)*2</f>
        <v>12</v>
      </c>
      <c r="F12" s="6" t="s">
        <v>4</v>
      </c>
      <c r="G12" s="7">
        <f>D13</f>
        <v>50000000</v>
      </c>
    </row>
    <row r="13" spans="1:7">
      <c r="A13" s="4" t="s">
        <v>13</v>
      </c>
      <c r="D13" s="49">
        <f>Data!B22</f>
        <v>50000000</v>
      </c>
      <c r="F13" s="6" t="s">
        <v>31</v>
      </c>
      <c r="G13" s="9">
        <f>D23</f>
        <v>49282473.710000001</v>
      </c>
    </row>
    <row r="14" spans="1:7">
      <c r="A14" s="13" t="s">
        <v>15</v>
      </c>
      <c r="B14" s="14"/>
      <c r="C14" s="14"/>
      <c r="D14" s="195">
        <v>7.1999999999999995E-2</v>
      </c>
      <c r="F14" s="6" t="s">
        <v>6</v>
      </c>
      <c r="G14" s="9">
        <f>(D44)*-1</f>
        <v>53820324.695736334</v>
      </c>
    </row>
    <row r="15" spans="1:7">
      <c r="E15" s="16"/>
      <c r="F15" s="11" t="s">
        <v>8</v>
      </c>
      <c r="G15" s="12">
        <f>(D48)*-1</f>
        <v>7066191.3384532072</v>
      </c>
    </row>
    <row r="16" spans="1:7" ht="20.399999999999999">
      <c r="A16" s="354" t="s">
        <v>16</v>
      </c>
      <c r="B16" s="355"/>
      <c r="C16" s="355"/>
      <c r="D16" s="356"/>
      <c r="E16" s="16"/>
      <c r="F16" s="16"/>
    </row>
    <row r="17" spans="1:75">
      <c r="A17" s="4" t="s">
        <v>17</v>
      </c>
      <c r="D17" s="17">
        <f>Data!H22</f>
        <v>2011</v>
      </c>
      <c r="E17" s="16"/>
      <c r="F17" s="323" t="s">
        <v>109</v>
      </c>
      <c r="G17" s="324"/>
      <c r="H17" s="120"/>
    </row>
    <row r="18" spans="1:75">
      <c r="A18" s="4" t="s">
        <v>5</v>
      </c>
      <c r="D18" s="18">
        <f>Data!N22</f>
        <v>0.02</v>
      </c>
      <c r="E18" s="16"/>
      <c r="F18" s="121" t="s">
        <v>44</v>
      </c>
      <c r="G18" s="118" t="s">
        <v>45</v>
      </c>
      <c r="H18" s="58"/>
    </row>
    <row r="19" spans="1:75">
      <c r="A19" s="4" t="s">
        <v>7</v>
      </c>
      <c r="D19" s="194">
        <f>Data!O22</f>
        <v>26.5</v>
      </c>
      <c r="E19" s="16"/>
      <c r="F19" s="119">
        <f>(1-((D8/D11)/D24))*(1-(((1/((1+D24)^(D11*D9)))-(1/((1+D24)^(D11*D10))))/(D24*(D11*D10-D11*D9))))</f>
        <v>0.25013911532862199</v>
      </c>
      <c r="G19" s="122">
        <f>(1-((D18/D21)/D24))*(1-(((1/((1+D24)^(D21*D19)))-(1/((1+D24)^(D21*D20))))/(D24*(D21*D20-D21*D19))))+((D13-D23)/D13)</f>
        <v>0.46284074355930099</v>
      </c>
    </row>
    <row r="20" spans="1:75">
      <c r="A20" s="4" t="s">
        <v>9</v>
      </c>
      <c r="D20" s="194">
        <f>Data!M22</f>
        <v>30.5</v>
      </c>
      <c r="E20" s="16"/>
      <c r="F20" s="16"/>
      <c r="I20">
        <f>26.5*2</f>
        <v>53</v>
      </c>
    </row>
    <row r="21" spans="1:75">
      <c r="A21" s="4" t="s">
        <v>10</v>
      </c>
      <c r="D21" s="10">
        <v>2</v>
      </c>
      <c r="E21" s="16"/>
      <c r="F21" s="16"/>
      <c r="G21" s="27"/>
    </row>
    <row r="22" spans="1:75">
      <c r="A22" s="4" t="s">
        <v>12</v>
      </c>
      <c r="D22" s="10">
        <f>(D20-D19)*2</f>
        <v>8</v>
      </c>
      <c r="E22" s="16"/>
      <c r="F22" s="16"/>
    </row>
    <row r="23" spans="1:75">
      <c r="A23" s="4" t="s">
        <v>258</v>
      </c>
      <c r="D23" s="50">
        <f>Data!L22</f>
        <v>49282473.710000001</v>
      </c>
      <c r="E23" s="16"/>
      <c r="F23" s="16"/>
    </row>
    <row r="24" spans="1:75">
      <c r="A24" s="196" t="s">
        <v>187</v>
      </c>
      <c r="B24" s="14"/>
      <c r="C24" s="14"/>
      <c r="D24" s="195">
        <f>(1.05^0.5)-1</f>
        <v>2.4695076595959931E-2</v>
      </c>
      <c r="E24" s="16"/>
      <c r="F24" s="16"/>
    </row>
    <row r="25" spans="1:75" s="19" customFormat="1" ht="78" customHeight="1">
      <c r="A25" s="302" t="s">
        <v>43</v>
      </c>
      <c r="E25" s="53" t="s">
        <v>25</v>
      </c>
      <c r="F25" s="20"/>
      <c r="N25" s="51"/>
      <c r="O25" s="51"/>
      <c r="Q25" s="21" t="s">
        <v>21</v>
      </c>
      <c r="T25" s="51"/>
      <c r="AD25" s="51"/>
      <c r="AP25" s="51"/>
      <c r="AQ25" s="21" t="s">
        <v>40</v>
      </c>
      <c r="AW25" s="51"/>
      <c r="AX25" s="21" t="s">
        <v>22</v>
      </c>
      <c r="BH25" s="51"/>
    </row>
    <row r="26" spans="1:75" s="22" customFormat="1">
      <c r="A26"/>
      <c r="B26"/>
      <c r="C26"/>
      <c r="D26"/>
      <c r="E26" s="16"/>
      <c r="F26" s="1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75">
      <c r="A27" s="2" t="s">
        <v>23</v>
      </c>
      <c r="D27" s="2"/>
      <c r="E27" s="23" t="s">
        <v>102</v>
      </c>
      <c r="F27" s="24">
        <v>38717</v>
      </c>
      <c r="G27" s="24">
        <v>38898</v>
      </c>
      <c r="H27" s="24">
        <v>39082</v>
      </c>
      <c r="I27" s="24">
        <v>39263</v>
      </c>
      <c r="J27" s="24">
        <v>39447</v>
      </c>
      <c r="K27" s="24">
        <v>39629</v>
      </c>
      <c r="L27" s="24">
        <v>39813</v>
      </c>
      <c r="M27" s="24">
        <v>39994</v>
      </c>
      <c r="N27" s="24">
        <v>40178</v>
      </c>
      <c r="O27" s="24">
        <v>40359</v>
      </c>
      <c r="P27" s="24">
        <v>40543</v>
      </c>
      <c r="Q27" s="24">
        <v>40724</v>
      </c>
      <c r="R27" s="24">
        <v>40908</v>
      </c>
      <c r="S27" s="24">
        <v>41090</v>
      </c>
      <c r="T27" s="24">
        <v>41274</v>
      </c>
      <c r="U27" s="24">
        <v>41455</v>
      </c>
      <c r="V27" s="24">
        <v>41639</v>
      </c>
      <c r="W27" s="24">
        <v>41820</v>
      </c>
      <c r="X27" s="24">
        <v>42004</v>
      </c>
      <c r="Y27" s="24">
        <v>42185</v>
      </c>
      <c r="Z27" s="24">
        <v>42369</v>
      </c>
      <c r="AA27" s="24">
        <v>42551</v>
      </c>
      <c r="AB27" s="24">
        <v>42735</v>
      </c>
      <c r="AC27" s="24">
        <v>42916</v>
      </c>
      <c r="AD27" s="24">
        <v>43100</v>
      </c>
      <c r="AE27" s="24">
        <v>43281</v>
      </c>
      <c r="AF27" s="24">
        <v>43465</v>
      </c>
      <c r="AG27" s="24">
        <v>43646</v>
      </c>
      <c r="AH27" s="24">
        <v>43830</v>
      </c>
      <c r="AI27" s="24">
        <v>44012</v>
      </c>
      <c r="AJ27" s="24">
        <v>44196</v>
      </c>
      <c r="AK27" s="24">
        <v>44377</v>
      </c>
      <c r="AL27" s="24">
        <v>44561</v>
      </c>
      <c r="AM27" s="24">
        <v>44742</v>
      </c>
      <c r="AN27" s="24">
        <v>44926</v>
      </c>
      <c r="AO27" s="24">
        <v>45107</v>
      </c>
      <c r="AP27" s="24">
        <v>45291</v>
      </c>
      <c r="AQ27" s="24">
        <v>45473</v>
      </c>
      <c r="AR27" s="24">
        <v>45657</v>
      </c>
      <c r="AS27" s="24">
        <v>45838</v>
      </c>
      <c r="AT27" s="24">
        <v>46022</v>
      </c>
      <c r="AU27" s="24">
        <v>46203</v>
      </c>
      <c r="AV27" s="24">
        <v>46387</v>
      </c>
      <c r="AW27" s="24">
        <v>46568</v>
      </c>
      <c r="AX27" s="24">
        <v>46752</v>
      </c>
      <c r="AY27" s="24"/>
      <c r="AZ27" s="24"/>
      <c r="BA27" s="24"/>
      <c r="BB27" s="24"/>
      <c r="BC27" s="24"/>
      <c r="BD27" s="24"/>
      <c r="BE27" s="24"/>
      <c r="BF27" s="24"/>
      <c r="BG27" s="24"/>
      <c r="BH27" s="24"/>
      <c r="BI27" s="24"/>
      <c r="BJ27" s="24"/>
      <c r="BK27" s="23"/>
      <c r="BL27" s="24"/>
      <c r="BM27" s="23"/>
      <c r="BN27" s="24"/>
      <c r="BO27" s="23"/>
      <c r="BP27" s="24"/>
      <c r="BQ27" s="23"/>
      <c r="BR27" s="24"/>
      <c r="BS27" s="23"/>
      <c r="BT27" s="24"/>
      <c r="BU27" s="23"/>
      <c r="BV27" s="24"/>
      <c r="BW27" s="23"/>
    </row>
    <row r="28" spans="1:75">
      <c r="A28" s="2" t="s">
        <v>38</v>
      </c>
      <c r="D28" s="2"/>
      <c r="E28" s="23"/>
      <c r="F28" s="52">
        <f>D9*2+1</f>
        <v>17</v>
      </c>
      <c r="G28" s="52">
        <f>F28+1</f>
        <v>18</v>
      </c>
      <c r="H28" s="52">
        <f t="shared" ref="H28:AW28" si="0">G28+1</f>
        <v>19</v>
      </c>
      <c r="I28" s="52">
        <f t="shared" si="0"/>
        <v>20</v>
      </c>
      <c r="J28" s="52">
        <f t="shared" si="0"/>
        <v>21</v>
      </c>
      <c r="K28" s="52">
        <f t="shared" si="0"/>
        <v>22</v>
      </c>
      <c r="L28" s="52">
        <f t="shared" si="0"/>
        <v>23</v>
      </c>
      <c r="M28" s="52">
        <f t="shared" si="0"/>
        <v>24</v>
      </c>
      <c r="N28" s="52">
        <f t="shared" si="0"/>
        <v>25</v>
      </c>
      <c r="O28" s="52">
        <f t="shared" si="0"/>
        <v>26</v>
      </c>
      <c r="P28" s="52">
        <f t="shared" si="0"/>
        <v>27</v>
      </c>
      <c r="Q28" s="52">
        <f t="shared" si="0"/>
        <v>28</v>
      </c>
      <c r="R28" s="52">
        <f t="shared" si="0"/>
        <v>29</v>
      </c>
      <c r="S28" s="52">
        <f t="shared" si="0"/>
        <v>30</v>
      </c>
      <c r="T28" s="52">
        <f t="shared" si="0"/>
        <v>31</v>
      </c>
      <c r="U28" s="52">
        <f t="shared" si="0"/>
        <v>32</v>
      </c>
      <c r="V28" s="52">
        <f t="shared" si="0"/>
        <v>33</v>
      </c>
      <c r="W28" s="52">
        <f t="shared" si="0"/>
        <v>34</v>
      </c>
      <c r="X28" s="52">
        <f t="shared" si="0"/>
        <v>35</v>
      </c>
      <c r="Y28" s="52">
        <f t="shared" si="0"/>
        <v>36</v>
      </c>
      <c r="Z28" s="52">
        <f t="shared" si="0"/>
        <v>37</v>
      </c>
      <c r="AA28" s="52">
        <f t="shared" si="0"/>
        <v>38</v>
      </c>
      <c r="AB28" s="52">
        <f t="shared" si="0"/>
        <v>39</v>
      </c>
      <c r="AC28" s="52">
        <f t="shared" si="0"/>
        <v>40</v>
      </c>
      <c r="AD28" s="52">
        <f t="shared" si="0"/>
        <v>41</v>
      </c>
      <c r="AE28" s="52">
        <f t="shared" si="0"/>
        <v>42</v>
      </c>
      <c r="AF28" s="52">
        <f t="shared" si="0"/>
        <v>43</v>
      </c>
      <c r="AG28" s="52">
        <f t="shared" si="0"/>
        <v>44</v>
      </c>
      <c r="AH28" s="52">
        <f t="shared" si="0"/>
        <v>45</v>
      </c>
      <c r="AI28" s="52">
        <f t="shared" si="0"/>
        <v>46</v>
      </c>
      <c r="AJ28" s="52">
        <f t="shared" si="0"/>
        <v>47</v>
      </c>
      <c r="AK28" s="52">
        <f t="shared" si="0"/>
        <v>48</v>
      </c>
      <c r="AL28" s="52">
        <f t="shared" si="0"/>
        <v>49</v>
      </c>
      <c r="AM28" s="52">
        <f t="shared" si="0"/>
        <v>50</v>
      </c>
      <c r="AN28" s="52">
        <f t="shared" si="0"/>
        <v>51</v>
      </c>
      <c r="AO28" s="52">
        <f t="shared" si="0"/>
        <v>52</v>
      </c>
      <c r="AP28" s="52">
        <f t="shared" si="0"/>
        <v>53</v>
      </c>
      <c r="AQ28" s="52">
        <f t="shared" si="0"/>
        <v>54</v>
      </c>
      <c r="AR28" s="52">
        <f t="shared" si="0"/>
        <v>55</v>
      </c>
      <c r="AS28" s="52">
        <f t="shared" si="0"/>
        <v>56</v>
      </c>
      <c r="AT28" s="52">
        <f t="shared" si="0"/>
        <v>57</v>
      </c>
      <c r="AU28" s="52">
        <f t="shared" si="0"/>
        <v>58</v>
      </c>
      <c r="AV28" s="52">
        <f t="shared" si="0"/>
        <v>59</v>
      </c>
      <c r="AW28" s="52">
        <f t="shared" si="0"/>
        <v>60</v>
      </c>
      <c r="AX28" s="52">
        <v>61</v>
      </c>
      <c r="BI28" s="23"/>
      <c r="BJ28" s="24"/>
      <c r="BK28" s="23"/>
      <c r="BL28" s="24"/>
      <c r="BM28" s="23"/>
      <c r="BN28" s="24"/>
      <c r="BO28" s="23"/>
      <c r="BP28" s="24"/>
      <c r="BQ28" s="23"/>
      <c r="BR28" s="24"/>
      <c r="BS28" s="23"/>
      <c r="BT28" s="24"/>
      <c r="BU28" s="23"/>
      <c r="BV28" s="24"/>
      <c r="BW28" s="23"/>
    </row>
    <row r="29" spans="1:75">
      <c r="A29" s="2" t="s">
        <v>26</v>
      </c>
      <c r="E29" s="25"/>
      <c r="F29" s="25">
        <f>1/(1+($D14/$D11))^(F28)</f>
        <v>0.54813073923958611</v>
      </c>
      <c r="G29" s="25">
        <f t="shared" ref="G29:AX29" si="1">1/(1+($D14/$D11))^(G28)</f>
        <v>0.52908372513473567</v>
      </c>
      <c r="H29" s="25">
        <f t="shared" si="1"/>
        <v>0.51069857638487992</v>
      </c>
      <c r="I29" s="25">
        <f t="shared" si="1"/>
        <v>0.49295229380779915</v>
      </c>
      <c r="J29" s="25">
        <f t="shared" si="1"/>
        <v>0.47582267742065554</v>
      </c>
      <c r="K29" s="25">
        <f t="shared" si="1"/>
        <v>0.4592882986685865</v>
      </c>
      <c r="L29" s="25">
        <f t="shared" si="1"/>
        <v>0.44332847361832661</v>
      </c>
      <c r="M29" s="25">
        <f t="shared" si="1"/>
        <v>0.42792323708332691</v>
      </c>
      <c r="N29" s="25">
        <f t="shared" si="1"/>
        <v>0.41305331764799891</v>
      </c>
      <c r="O29" s="25">
        <f t="shared" si="1"/>
        <v>0.39870011355984458</v>
      </c>
      <c r="P29" s="25">
        <f t="shared" si="1"/>
        <v>0.38484566945930937</v>
      </c>
      <c r="Q29" s="25">
        <f t="shared" si="1"/>
        <v>0.37147265391825229</v>
      </c>
      <c r="R29" s="25">
        <f t="shared" si="1"/>
        <v>0.35856433775893076</v>
      </c>
      <c r="S29" s="25">
        <f t="shared" si="1"/>
        <v>0.3461045731263811</v>
      </c>
      <c r="T29" s="25">
        <f t="shared" si="1"/>
        <v>0.33407777328801258</v>
      </c>
      <c r="U29" s="25">
        <f t="shared" si="1"/>
        <v>0.32246889313514726</v>
      </c>
      <c r="V29" s="25">
        <f t="shared" si="1"/>
        <v>0.31126341036211125</v>
      </c>
      <c r="W29" s="25">
        <f t="shared" si="1"/>
        <v>0.30044730729933516</v>
      </c>
      <c r="X29" s="25">
        <f t="shared" si="1"/>
        <v>0.29000705337773663</v>
      </c>
      <c r="Y29" s="25">
        <f t="shared" si="1"/>
        <v>0.27992958820244851</v>
      </c>
      <c r="Z29" s="25">
        <f t="shared" si="1"/>
        <v>0.27020230521471861</v>
      </c>
      <c r="AA29" s="25">
        <f t="shared" si="1"/>
        <v>0.26081303592154309</v>
      </c>
      <c r="AB29" s="25">
        <f t="shared" si="1"/>
        <v>0.25175003467330409</v>
      </c>
      <c r="AC29" s="25">
        <f t="shared" si="1"/>
        <v>0.24300196397037077</v>
      </c>
      <c r="AD29" s="25">
        <f t="shared" si="1"/>
        <v>0.23455788028028063</v>
      </c>
      <c r="AE29" s="25">
        <f t="shared" si="1"/>
        <v>0.22640722034776126</v>
      </c>
      <c r="AF29" s="25">
        <f t="shared" si="1"/>
        <v>0.2185397879804645</v>
      </c>
      <c r="AG29" s="25">
        <f t="shared" si="1"/>
        <v>0.21094574129388466</v>
      </c>
      <c r="AH29" s="25">
        <f t="shared" si="1"/>
        <v>0.20361558039950253</v>
      </c>
      <c r="AI29" s="25">
        <f t="shared" si="1"/>
        <v>0.19654013552075539</v>
      </c>
      <c r="AJ29" s="25">
        <f t="shared" si="1"/>
        <v>0.18971055552196464</v>
      </c>
      <c r="AK29" s="25">
        <f t="shared" si="1"/>
        <v>0.18311829683587319</v>
      </c>
      <c r="AL29" s="25">
        <f t="shared" si="1"/>
        <v>0.17675511277593939</v>
      </c>
      <c r="AM29" s="25">
        <f t="shared" si="1"/>
        <v>0.17061304322001869</v>
      </c>
      <c r="AN29" s="25">
        <f t="shared" si="1"/>
        <v>0.16468440465252768</v>
      </c>
      <c r="AO29" s="25">
        <f t="shared" si="1"/>
        <v>0.15896178055263288</v>
      </c>
      <c r="AP29" s="25">
        <f t="shared" si="1"/>
        <v>0.15343801211644101</v>
      </c>
      <c r="AQ29" s="25">
        <f t="shared" si="1"/>
        <v>0.14810618930158403</v>
      </c>
      <c r="AR29" s="25">
        <f t="shared" si="1"/>
        <v>0.14295964218299612</v>
      </c>
      <c r="AS29" s="25">
        <f t="shared" si="1"/>
        <v>0.13799193260906964</v>
      </c>
      <c r="AT29" s="25">
        <f t="shared" si="1"/>
        <v>0.1331968461477506</v>
      </c>
      <c r="AU29" s="25">
        <f t="shared" si="1"/>
        <v>0.12856838431250059</v>
      </c>
      <c r="AV29" s="25">
        <f t="shared" si="1"/>
        <v>0.12410075705839824</v>
      </c>
      <c r="AW29" s="25">
        <f t="shared" si="1"/>
        <v>0.11978837553899445</v>
      </c>
      <c r="AX29" s="25">
        <f t="shared" si="1"/>
        <v>0.11562584511485949</v>
      </c>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row>
    <row r="30" spans="1:75">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 t="s">
        <v>37</v>
      </c>
      <c r="D32" s="2"/>
      <c r="E32" s="23"/>
      <c r="F32">
        <v>1</v>
      </c>
      <c r="G32">
        <v>2</v>
      </c>
      <c r="H32">
        <v>3</v>
      </c>
      <c r="I32">
        <v>4</v>
      </c>
      <c r="J32">
        <v>5</v>
      </c>
      <c r="K32">
        <v>6</v>
      </c>
      <c r="L32">
        <v>7</v>
      </c>
      <c r="M32">
        <v>8</v>
      </c>
      <c r="N32">
        <v>9</v>
      </c>
      <c r="O32">
        <v>10</v>
      </c>
      <c r="P32">
        <v>11</v>
      </c>
      <c r="Q32">
        <v>12</v>
      </c>
      <c r="BI32" s="23"/>
      <c r="BJ32" s="24"/>
      <c r="BK32" s="23"/>
      <c r="BL32" s="24"/>
      <c r="BM32" s="23"/>
      <c r="BN32" s="24"/>
      <c r="BO32" s="23"/>
      <c r="BP32" s="24"/>
      <c r="BQ32" s="23"/>
      <c r="BR32" s="24"/>
      <c r="BS32" s="23"/>
      <c r="BT32" s="24"/>
      <c r="BU32" s="23"/>
      <c r="BV32" s="24"/>
      <c r="BW32" s="23"/>
    </row>
    <row r="33" spans="1:76">
      <c r="A33" s="27"/>
      <c r="B33" s="26" t="s">
        <v>28</v>
      </c>
      <c r="C33" s="27"/>
      <c r="D33" s="27">
        <f>SUM(E33:CC33)</f>
        <v>-56735757.973770887</v>
      </c>
      <c r="E33" s="27"/>
      <c r="F33" s="27">
        <f>PMT($D$8,$D$12,$D$13)</f>
        <v>-4727979.8311475739</v>
      </c>
      <c r="G33" s="27">
        <f t="shared" ref="G33:Q33" si="2">PMT($D$8,$D$12,$D$13)</f>
        <v>-4727979.8311475739</v>
      </c>
      <c r="H33" s="27">
        <f t="shared" si="2"/>
        <v>-4727979.8311475739</v>
      </c>
      <c r="I33" s="27">
        <f t="shared" si="2"/>
        <v>-4727979.8311475739</v>
      </c>
      <c r="J33" s="27">
        <f t="shared" si="2"/>
        <v>-4727979.8311475739</v>
      </c>
      <c r="K33" s="27">
        <f t="shared" si="2"/>
        <v>-4727979.8311475739</v>
      </c>
      <c r="L33" s="27">
        <f t="shared" si="2"/>
        <v>-4727979.8311475739</v>
      </c>
      <c r="M33" s="27">
        <f t="shared" si="2"/>
        <v>-4727979.8311475739</v>
      </c>
      <c r="N33" s="27">
        <f t="shared" si="2"/>
        <v>-4727979.8311475739</v>
      </c>
      <c r="O33" s="27">
        <f t="shared" si="2"/>
        <v>-4727979.8311475739</v>
      </c>
      <c r="P33" s="27">
        <f t="shared" si="2"/>
        <v>-4727979.8311475739</v>
      </c>
      <c r="Q33" s="27">
        <f t="shared" si="2"/>
        <v>-4727979.8311475739</v>
      </c>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6">
      <c r="A34" s="27"/>
      <c r="B34" s="27"/>
      <c r="C34" s="27" t="s">
        <v>29</v>
      </c>
      <c r="D34" s="27">
        <f t="shared" ref="D34:D35" si="3">SUM(E34:CC34)</f>
        <v>-49999999.999999993</v>
      </c>
      <c r="E34" s="27"/>
      <c r="F34" s="27">
        <f t="shared" ref="F34:Q34" si="4">PPMT($D$8,F32,$D$12,$D$13)</f>
        <v>-3727979.8311475739</v>
      </c>
      <c r="G34" s="27">
        <f t="shared" si="4"/>
        <v>-3802539.4277705257</v>
      </c>
      <c r="H34" s="27">
        <f t="shared" si="4"/>
        <v>-3878590.2163259359</v>
      </c>
      <c r="I34" s="27">
        <f t="shared" si="4"/>
        <v>-3956162.0206524543</v>
      </c>
      <c r="J34" s="27">
        <f t="shared" si="4"/>
        <v>-4035285.2610655036</v>
      </c>
      <c r="K34" s="27">
        <f t="shared" si="4"/>
        <v>-4115990.9662868138</v>
      </c>
      <c r="L34" s="27">
        <f t="shared" si="4"/>
        <v>-4198310.7856125496</v>
      </c>
      <c r="M34" s="27">
        <f t="shared" si="4"/>
        <v>-4282277.0013248008</v>
      </c>
      <c r="N34" s="27">
        <f t="shared" si="4"/>
        <v>-4367922.5413512969</v>
      </c>
      <c r="O34" s="27">
        <f t="shared" si="4"/>
        <v>-4455280.9921783227</v>
      </c>
      <c r="P34" s="27">
        <f t="shared" si="4"/>
        <v>-4544386.6120218895</v>
      </c>
      <c r="Q34" s="27">
        <f t="shared" si="4"/>
        <v>-4635274.3442623271</v>
      </c>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6">
      <c r="A35" s="27"/>
      <c r="B35" s="27"/>
      <c r="C35" s="27" t="s">
        <v>30</v>
      </c>
      <c r="D35" s="27">
        <f t="shared" si="3"/>
        <v>-6735757.9737708922</v>
      </c>
      <c r="E35" s="27"/>
      <c r="F35" s="27">
        <f t="shared" ref="F35:Q35" si="5">IPMT($D$8,F32,$D$12,$D13)</f>
        <v>-1000000</v>
      </c>
      <c r="G35" s="27">
        <f t="shared" si="5"/>
        <v>-925440.40337704844</v>
      </c>
      <c r="H35" s="27">
        <f t="shared" si="5"/>
        <v>-849389.61482163786</v>
      </c>
      <c r="I35" s="27">
        <f t="shared" si="5"/>
        <v>-771817.81049511908</v>
      </c>
      <c r="J35" s="27">
        <f t="shared" si="5"/>
        <v>-692694.57008207007</v>
      </c>
      <c r="K35" s="27">
        <f t="shared" si="5"/>
        <v>-611988.86486076005</v>
      </c>
      <c r="L35" s="27">
        <f t="shared" si="5"/>
        <v>-529669.04553502379</v>
      </c>
      <c r="M35" s="27">
        <f t="shared" si="5"/>
        <v>-445702.82982277265</v>
      </c>
      <c r="N35" s="27">
        <f t="shared" si="5"/>
        <v>-360057.28979627672</v>
      </c>
      <c r="O35" s="27">
        <f t="shared" si="5"/>
        <v>-272698.83896925079</v>
      </c>
      <c r="P35" s="27">
        <f t="shared" si="5"/>
        <v>-183593.21912568435</v>
      </c>
      <c r="Q35" s="27">
        <f t="shared" si="5"/>
        <v>-92705.486885246544</v>
      </c>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6">
      <c r="A36" s="27"/>
      <c r="B36" s="33" t="s">
        <v>31</v>
      </c>
      <c r="C36" s="33"/>
      <c r="D36" s="27"/>
      <c r="E36" s="34">
        <f>D13</f>
        <v>50000000</v>
      </c>
      <c r="F36" s="34">
        <f t="shared" ref="F36:Q36" si="6">E$36+F$34</f>
        <v>46272020.168852426</v>
      </c>
      <c r="G36" s="34">
        <f t="shared" si="6"/>
        <v>42469480.741081901</v>
      </c>
      <c r="H36" s="34">
        <f t="shared" si="6"/>
        <v>38590890.524755962</v>
      </c>
      <c r="I36" s="34">
        <f t="shared" si="6"/>
        <v>34634728.504103512</v>
      </c>
      <c r="J36" s="34">
        <f t="shared" si="6"/>
        <v>30599443.243038006</v>
      </c>
      <c r="K36" s="34">
        <f t="shared" si="6"/>
        <v>26483452.27675119</v>
      </c>
      <c r="L36" s="34">
        <f t="shared" si="6"/>
        <v>22285141.491138641</v>
      </c>
      <c r="M36" s="34">
        <f t="shared" si="6"/>
        <v>18002864.489813842</v>
      </c>
      <c r="N36" s="34">
        <f t="shared" si="6"/>
        <v>13634941.948462546</v>
      </c>
      <c r="O36" s="34">
        <f t="shared" si="6"/>
        <v>9179660.9562842231</v>
      </c>
      <c r="P36" s="34">
        <f t="shared" si="6"/>
        <v>4635274.3442623336</v>
      </c>
      <c r="Q36" s="34">
        <f t="shared" si="6"/>
        <v>0</v>
      </c>
      <c r="R36" s="34"/>
      <c r="S36" s="34"/>
      <c r="T36" s="34"/>
      <c r="U36" s="34"/>
      <c r="V36" s="34"/>
      <c r="W36" s="34"/>
      <c r="X36" s="34"/>
      <c r="Y36" s="34"/>
      <c r="Z36" s="34"/>
      <c r="AA36" s="34"/>
      <c r="AB36" s="34"/>
      <c r="AC36" s="34"/>
      <c r="AD36" s="34"/>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6">
      <c r="A37" s="27"/>
      <c r="B37" s="26" t="s">
        <v>32</v>
      </c>
      <c r="C37" s="27"/>
      <c r="D37" s="27">
        <f t="shared" ref="D37:D39" si="7">SUM(E37:CC37)</f>
        <v>-25792547.31352381</v>
      </c>
      <c r="E37" s="34"/>
      <c r="F37" s="34">
        <f>F33*F29</f>
        <v>-2591551.0799567732</v>
      </c>
      <c r="G37" s="34">
        <f t="shared" ref="G37:Q37" si="8">G33*G29</f>
        <v>-2501497.1814254569</v>
      </c>
      <c r="H37" s="34">
        <f t="shared" si="8"/>
        <v>-2414572.5689434907</v>
      </c>
      <c r="I37" s="34">
        <f t="shared" si="8"/>
        <v>-2330668.5028412077</v>
      </c>
      <c r="J37" s="34">
        <f t="shared" si="8"/>
        <v>-2249680.0220474973</v>
      </c>
      <c r="K37" s="34">
        <f t="shared" si="8"/>
        <v>-2171505.8127871603</v>
      </c>
      <c r="L37" s="34">
        <f t="shared" si="8"/>
        <v>-2096048.0818408874</v>
      </c>
      <c r="M37" s="34">
        <f t="shared" si="8"/>
        <v>-2023212.4342093512</v>
      </c>
      <c r="N37" s="34">
        <f t="shared" si="8"/>
        <v>-1952907.7550283312</v>
      </c>
      <c r="O37" s="34">
        <f t="shared" si="8"/>
        <v>-1885046.0955871926</v>
      </c>
      <c r="P37" s="34">
        <f t="shared" si="8"/>
        <v>-1819542.5633081004</v>
      </c>
      <c r="Q37" s="34">
        <f t="shared" si="8"/>
        <v>-1756315.2155483596</v>
      </c>
      <c r="R37" s="34"/>
      <c r="S37" s="34"/>
      <c r="T37" s="34"/>
      <c r="U37" s="34"/>
      <c r="V37" s="34"/>
      <c r="W37" s="34"/>
      <c r="X37" s="34"/>
      <c r="Y37" s="34"/>
      <c r="Z37" s="34"/>
      <c r="AA37" s="34"/>
      <c r="AB37" s="34"/>
      <c r="AC37" s="34"/>
      <c r="AD37" s="34"/>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6">
      <c r="A38" s="27"/>
      <c r="B38" s="27"/>
      <c r="C38" s="27" t="s">
        <v>29</v>
      </c>
      <c r="D38" s="27">
        <f t="shared" si="7"/>
        <v>-22541766.089665368</v>
      </c>
      <c r="E38" s="34"/>
      <c r="F38" s="34">
        <f t="shared" ref="F38:Q38" si="9">F34*F29</f>
        <v>-2043420.3407171872</v>
      </c>
      <c r="G38" s="34">
        <f t="shared" si="9"/>
        <v>-2011861.725416536</v>
      </c>
      <c r="H38" s="34">
        <f t="shared" si="9"/>
        <v>-1980790.501857979</v>
      </c>
      <c r="I38" s="34">
        <f t="shared" si="9"/>
        <v>-1950199.142755925</v>
      </c>
      <c r="J38" s="34">
        <f t="shared" si="9"/>
        <v>-1920080.2370762969</v>
      </c>
      <c r="K38" s="34">
        <f t="shared" si="9"/>
        <v>-1890426.4882411421</v>
      </c>
      <c r="L38" s="34">
        <f t="shared" si="9"/>
        <v>-1861230.7123609693</v>
      </c>
      <c r="M38" s="34">
        <f t="shared" si="9"/>
        <v>-1832485.8364943909</v>
      </c>
      <c r="N38" s="34">
        <f t="shared" si="9"/>
        <v>-1804184.896934632</v>
      </c>
      <c r="O38" s="34">
        <f t="shared" si="9"/>
        <v>-1776321.0375225144</v>
      </c>
      <c r="P38" s="34">
        <f t="shared" si="9"/>
        <v>-1748887.5079854869</v>
      </c>
      <c r="Q38" s="34">
        <f t="shared" si="9"/>
        <v>-1721877.6623023134</v>
      </c>
      <c r="R38" s="34"/>
      <c r="S38" s="34"/>
      <c r="T38" s="34"/>
      <c r="U38" s="34"/>
      <c r="V38" s="34"/>
      <c r="W38" s="34"/>
      <c r="X38" s="34"/>
      <c r="Y38" s="34"/>
      <c r="Z38" s="34"/>
      <c r="AA38" s="34"/>
      <c r="AB38" s="34"/>
      <c r="AC38" s="34"/>
      <c r="AD38" s="34"/>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6">
      <c r="A39" s="27"/>
      <c r="B39" s="27"/>
      <c r="C39" s="27" t="s">
        <v>30</v>
      </c>
      <c r="D39" s="27">
        <f t="shared" si="7"/>
        <v>-3250781.2238584352</v>
      </c>
      <c r="E39" s="34"/>
      <c r="F39" s="34">
        <f t="shared" ref="F39:Q39" si="10">F35*F29</f>
        <v>-548130.73923958605</v>
      </c>
      <c r="G39" s="34">
        <f t="shared" si="10"/>
        <v>-489635.4560089212</v>
      </c>
      <c r="H39" s="34">
        <f t="shared" si="10"/>
        <v>-433782.06708551198</v>
      </c>
      <c r="I39" s="34">
        <f t="shared" si="10"/>
        <v>-380469.36008528218</v>
      </c>
      <c r="J39" s="34">
        <f t="shared" si="10"/>
        <v>-329599.78497120051</v>
      </c>
      <c r="K39" s="34">
        <f t="shared" si="10"/>
        <v>-281079.32454601798</v>
      </c>
      <c r="L39" s="34">
        <f t="shared" si="10"/>
        <v>-234817.36947991804</v>
      </c>
      <c r="M39" s="34">
        <f t="shared" si="10"/>
        <v>-190726.59771496005</v>
      </c>
      <c r="N39" s="34">
        <f t="shared" si="10"/>
        <v>-148722.85809369909</v>
      </c>
      <c r="O39" s="34">
        <f t="shared" si="10"/>
        <v>-108725.05806467806</v>
      </c>
      <c r="P39" s="34">
        <f t="shared" si="10"/>
        <v>-70655.055322613669</v>
      </c>
      <c r="Q39" s="34">
        <f t="shared" si="10"/>
        <v>-34437.553246046264</v>
      </c>
      <c r="R39" s="34"/>
      <c r="S39" s="34"/>
      <c r="T39" s="34"/>
      <c r="U39" s="34"/>
      <c r="V39" s="34"/>
      <c r="W39" s="34"/>
      <c r="X39" s="34"/>
      <c r="Y39" s="34"/>
      <c r="Z39" s="34"/>
      <c r="AA39" s="34"/>
      <c r="AB39" s="34"/>
      <c r="AC39" s="34"/>
      <c r="AD39" s="34"/>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6">
      <c r="A40" s="26"/>
      <c r="B40" s="27"/>
      <c r="C40" s="27"/>
      <c r="D40" s="27"/>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6" s="32" customFormat="1" ht="21">
      <c r="A41" s="29" t="s">
        <v>33</v>
      </c>
      <c r="B41" s="30"/>
      <c r="C41" s="30"/>
      <c r="D41" s="30"/>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6" s="245" customFormat="1">
      <c r="A42" s="241" t="s">
        <v>150</v>
      </c>
      <c r="B42" s="242"/>
      <c r="C42" s="243"/>
      <c r="D42" s="242"/>
      <c r="E42" s="243"/>
      <c r="F42" s="243"/>
      <c r="G42" s="244"/>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row>
    <row r="43" spans="1:76">
      <c r="A43" s="2" t="s">
        <v>24</v>
      </c>
      <c r="D43" s="2"/>
      <c r="E43" s="23"/>
      <c r="Q43" s="23" t="s">
        <v>103</v>
      </c>
      <c r="R43" s="23" t="s">
        <v>103</v>
      </c>
      <c r="S43" s="23" t="s">
        <v>103</v>
      </c>
      <c r="T43" s="23" t="s">
        <v>103</v>
      </c>
      <c r="U43" s="23" t="s">
        <v>103</v>
      </c>
      <c r="V43" s="23" t="s">
        <v>103</v>
      </c>
      <c r="W43" s="23" t="s">
        <v>103</v>
      </c>
      <c r="X43" s="23" t="s">
        <v>103</v>
      </c>
      <c r="Y43" s="23" t="s">
        <v>103</v>
      </c>
      <c r="Z43" s="23" t="s">
        <v>103</v>
      </c>
      <c r="AA43" s="23" t="s">
        <v>103</v>
      </c>
      <c r="AB43" s="23" t="s">
        <v>103</v>
      </c>
      <c r="AC43" s="23" t="s">
        <v>103</v>
      </c>
      <c r="AD43" s="23" t="s">
        <v>103</v>
      </c>
      <c r="AE43" s="23" t="s">
        <v>103</v>
      </c>
      <c r="AF43" s="23" t="s">
        <v>103</v>
      </c>
      <c r="AG43" s="23" t="s">
        <v>103</v>
      </c>
      <c r="AH43" s="23" t="s">
        <v>103</v>
      </c>
      <c r="AI43" s="23" t="s">
        <v>103</v>
      </c>
      <c r="AJ43" s="23" t="s">
        <v>103</v>
      </c>
      <c r="AK43" s="23" t="s">
        <v>103</v>
      </c>
      <c r="AL43" s="23" t="s">
        <v>103</v>
      </c>
      <c r="AM43" s="23" t="s">
        <v>103</v>
      </c>
      <c r="AN43" s="23" t="s">
        <v>103</v>
      </c>
      <c r="AO43" s="23" t="s">
        <v>103</v>
      </c>
      <c r="AP43" s="23" t="s">
        <v>103</v>
      </c>
      <c r="AQ43">
        <v>1</v>
      </c>
      <c r="AR43">
        <v>2</v>
      </c>
      <c r="AS43">
        <v>3</v>
      </c>
      <c r="AT43">
        <v>4</v>
      </c>
      <c r="AU43">
        <v>5</v>
      </c>
      <c r="AV43">
        <v>6</v>
      </c>
      <c r="AW43">
        <v>7</v>
      </c>
      <c r="AX43">
        <v>8</v>
      </c>
      <c r="BK43" s="24"/>
      <c r="BL43" s="23"/>
      <c r="BM43" s="24"/>
      <c r="BN43" s="23"/>
      <c r="BO43" s="24"/>
      <c r="BP43" s="23"/>
      <c r="BQ43" s="24"/>
      <c r="BR43" s="23"/>
      <c r="BS43" s="24"/>
      <c r="BT43" s="23"/>
      <c r="BU43" s="24"/>
      <c r="BV43" s="23"/>
      <c r="BW43" s="24"/>
      <c r="BX43" s="23"/>
    </row>
    <row r="44" spans="1:76">
      <c r="A44" s="41"/>
      <c r="B44" s="26" t="s">
        <v>28</v>
      </c>
      <c r="C44" s="27"/>
      <c r="D44" s="27">
        <f>SUM(E44:CD44)</f>
        <v>-53820324.695736334</v>
      </c>
      <c r="E44" s="34"/>
      <c r="F44" s="34"/>
      <c r="G44" s="34"/>
      <c r="H44" s="34"/>
      <c r="I44" s="34"/>
      <c r="J44" s="34"/>
      <c r="K44" s="34"/>
      <c r="L44" s="34"/>
      <c r="M44" s="34"/>
      <c r="N44" s="34"/>
      <c r="O44" s="34"/>
      <c r="P44" s="34"/>
      <c r="Q44" s="34"/>
      <c r="R44" s="34"/>
      <c r="S44" s="34"/>
      <c r="T44" s="34"/>
      <c r="U44" s="34"/>
      <c r="V44" s="34"/>
      <c r="W44" s="34"/>
      <c r="X44" s="34"/>
      <c r="Y44" s="34"/>
      <c r="Z44" s="27"/>
      <c r="AA44" s="27"/>
      <c r="AB44" s="27"/>
      <c r="AC44" s="27"/>
      <c r="AD44" s="27"/>
      <c r="AO44" s="238"/>
      <c r="AQ44" s="27">
        <f>PMT($D$18,$D$22,$D$23)</f>
        <v>-6727540.5869670408</v>
      </c>
      <c r="AR44" s="27">
        <f t="shared" ref="AR44:AX44" si="11">PMT($D$18,$D$22,$D$23)</f>
        <v>-6727540.5869670408</v>
      </c>
      <c r="AS44" s="27">
        <f t="shared" si="11"/>
        <v>-6727540.5869670408</v>
      </c>
      <c r="AT44" s="27">
        <f t="shared" si="11"/>
        <v>-6727540.5869670408</v>
      </c>
      <c r="AU44" s="27">
        <f t="shared" si="11"/>
        <v>-6727540.5869670408</v>
      </c>
      <c r="AV44" s="27">
        <f t="shared" si="11"/>
        <v>-6727540.5869670408</v>
      </c>
      <c r="AW44" s="27">
        <f t="shared" si="11"/>
        <v>-6727540.5869670408</v>
      </c>
      <c r="AX44" s="27">
        <f t="shared" si="11"/>
        <v>-6727540.5869670408</v>
      </c>
      <c r="AY44" s="27"/>
      <c r="AZ44" s="27"/>
      <c r="BA44" s="27"/>
      <c r="BB44" s="27"/>
      <c r="BC44" s="27"/>
      <c r="BD44" s="27"/>
      <c r="BE44" s="27"/>
      <c r="BF44" s="27"/>
      <c r="BG44" s="27"/>
      <c r="BH44" s="27"/>
      <c r="BI44" s="27"/>
      <c r="BJ44" s="27"/>
    </row>
    <row r="45" spans="1:76">
      <c r="A45" s="41"/>
      <c r="B45" s="27"/>
      <c r="C45" s="27" t="s">
        <v>29</v>
      </c>
      <c r="D45" s="27">
        <f>SUM(E45:CD45)</f>
        <v>-49282473.710000008</v>
      </c>
      <c r="E45" s="34"/>
      <c r="F45" s="34"/>
      <c r="G45" s="34"/>
      <c r="H45" s="34"/>
      <c r="I45" s="34"/>
      <c r="J45" s="34"/>
      <c r="K45" s="34"/>
      <c r="L45" s="34"/>
      <c r="M45" s="34"/>
      <c r="N45" s="34"/>
      <c r="O45" s="34"/>
      <c r="P45" s="34"/>
      <c r="Q45" s="34"/>
      <c r="R45" s="34"/>
      <c r="S45" s="34"/>
      <c r="T45" s="34"/>
      <c r="U45" s="34"/>
      <c r="V45" s="34"/>
      <c r="W45" s="34"/>
      <c r="X45" s="34"/>
      <c r="Y45" s="34"/>
      <c r="Z45" s="27"/>
      <c r="AA45" s="27"/>
      <c r="AB45" s="27"/>
      <c r="AC45" s="27"/>
      <c r="AD45" s="27"/>
      <c r="AO45" s="238"/>
      <c r="AQ45" s="27">
        <f>PPMT($D$18,AQ43, $D$22,$D$23)</f>
        <v>-5741891.1127670398</v>
      </c>
      <c r="AR45" s="27">
        <f t="shared" ref="AR45:AX45" si="12">PPMT($D$18,AR43, $D$22,$D$23)</f>
        <v>-5856728.9350223802</v>
      </c>
      <c r="AS45" s="27">
        <f t="shared" si="12"/>
        <v>-5973863.5137228286</v>
      </c>
      <c r="AT45" s="27">
        <f t="shared" si="12"/>
        <v>-6093340.7839972852</v>
      </c>
      <c r="AU45" s="27">
        <f t="shared" si="12"/>
        <v>-6215207.5996772312</v>
      </c>
      <c r="AV45" s="27">
        <f t="shared" si="12"/>
        <v>-6339511.7516707759</v>
      </c>
      <c r="AW45" s="27">
        <f t="shared" si="12"/>
        <v>-6466301.9867041912</v>
      </c>
      <c r="AX45" s="27">
        <f t="shared" si="12"/>
        <v>-6595628.0264382744</v>
      </c>
      <c r="AY45" s="27"/>
      <c r="AZ45" s="27"/>
      <c r="BA45" s="27"/>
      <c r="BB45" s="27"/>
      <c r="BC45" s="27"/>
      <c r="BD45" s="27"/>
      <c r="BE45" s="27"/>
      <c r="BF45" s="27"/>
      <c r="BG45" s="27"/>
      <c r="BH45" s="27"/>
      <c r="BI45" s="27"/>
      <c r="BJ45" s="27"/>
    </row>
    <row r="46" spans="1:76">
      <c r="A46" s="41"/>
      <c r="B46" s="27"/>
      <c r="C46" s="27" t="s">
        <v>30</v>
      </c>
      <c r="D46" s="27">
        <f>SUM(E46:CD46)</f>
        <v>-4537850.9857363161</v>
      </c>
      <c r="E46" s="27"/>
      <c r="F46" s="27"/>
      <c r="G46" s="27"/>
      <c r="H46" s="27"/>
      <c r="I46" s="27"/>
      <c r="J46" s="27"/>
      <c r="K46" s="27"/>
      <c r="L46" s="27"/>
      <c r="M46" s="27"/>
      <c r="N46" s="27"/>
      <c r="O46" s="34"/>
      <c r="P46" s="34"/>
      <c r="Q46" s="34"/>
      <c r="R46" s="34"/>
      <c r="S46" s="34"/>
      <c r="T46" s="34"/>
      <c r="U46" s="27"/>
      <c r="V46" s="27"/>
      <c r="W46" s="27"/>
      <c r="X46" s="27"/>
      <c r="Y46" s="27"/>
      <c r="Z46" s="27"/>
      <c r="AA46" s="27"/>
      <c r="AB46" s="27"/>
      <c r="AC46" s="27"/>
      <c r="AD46" s="27"/>
      <c r="AO46" s="238"/>
      <c r="AQ46" s="27">
        <f t="shared" ref="AQ46:AX46" si="13">IPMT($D$18, AQ43, $D$22,$D$23)</f>
        <v>-985649.47420000006</v>
      </c>
      <c r="AR46" s="27">
        <f t="shared" si="13"/>
        <v>-870811.65194465942</v>
      </c>
      <c r="AS46" s="27">
        <f t="shared" si="13"/>
        <v>-753677.07324421185</v>
      </c>
      <c r="AT46" s="27">
        <f t="shared" si="13"/>
        <v>-634199.80296975514</v>
      </c>
      <c r="AU46" s="27">
        <f t="shared" si="13"/>
        <v>-512332.98728980945</v>
      </c>
      <c r="AV46" s="27">
        <f t="shared" si="13"/>
        <v>-388028.83529626479</v>
      </c>
      <c r="AW46" s="27">
        <f t="shared" si="13"/>
        <v>-261238.60026284933</v>
      </c>
      <c r="AX46" s="27">
        <f t="shared" si="13"/>
        <v>-131912.56052876549</v>
      </c>
      <c r="AY46" s="27"/>
      <c r="AZ46" s="27"/>
      <c r="BA46" s="27"/>
      <c r="BB46" s="27"/>
      <c r="BC46" s="27"/>
      <c r="BD46" s="27"/>
      <c r="BE46" s="27"/>
      <c r="BF46" s="27"/>
      <c r="BG46" s="27"/>
      <c r="BH46" s="27"/>
      <c r="BI46" s="27"/>
      <c r="BJ46" s="27"/>
    </row>
    <row r="47" spans="1:76">
      <c r="A47" s="41"/>
      <c r="B47" s="33" t="s">
        <v>31</v>
      </c>
      <c r="C47" s="42"/>
      <c r="D47" s="27"/>
      <c r="E47" s="27">
        <f>D23</f>
        <v>49282473.710000001</v>
      </c>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O47" s="238"/>
      <c r="AQ47" s="27">
        <f>D23+AQ45</f>
        <v>43540582.59723296</v>
      </c>
      <c r="AR47" s="27">
        <f>AQ47+AR45</f>
        <v>37683853.662210584</v>
      </c>
      <c r="AS47" s="27">
        <f t="shared" ref="AS47:AX47" si="14">AR47+AS45</f>
        <v>31709990.148487754</v>
      </c>
      <c r="AT47" s="27">
        <f t="shared" si="14"/>
        <v>25616649.364490468</v>
      </c>
      <c r="AU47" s="27">
        <f t="shared" si="14"/>
        <v>19401441.764813237</v>
      </c>
      <c r="AV47" s="27">
        <f t="shared" si="14"/>
        <v>13061930.013142461</v>
      </c>
      <c r="AW47" s="27">
        <f t="shared" si="14"/>
        <v>6595628.0264382698</v>
      </c>
      <c r="AX47" s="27">
        <f t="shared" si="14"/>
        <v>0</v>
      </c>
      <c r="AY47" s="27"/>
      <c r="AZ47" s="27"/>
      <c r="BA47" s="27"/>
      <c r="BB47" s="27"/>
      <c r="BC47" s="27"/>
      <c r="BD47" s="27"/>
      <c r="BE47" s="27"/>
      <c r="BF47" s="27"/>
      <c r="BG47" s="27"/>
      <c r="BH47" s="27"/>
      <c r="BI47" s="27"/>
      <c r="BJ47" s="27"/>
    </row>
    <row r="48" spans="1:76" ht="21">
      <c r="A48" s="43"/>
      <c r="B48" s="26" t="s">
        <v>32</v>
      </c>
      <c r="C48" s="27"/>
      <c r="D48" s="27">
        <f>SUM(E48:CD48)</f>
        <v>-7066191.3384532072</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O48" s="238"/>
      <c r="AQ48" s="318">
        <f>AQ44*AQ29</f>
        <v>-996390.39970743028</v>
      </c>
      <c r="AR48" s="318">
        <f t="shared" ref="AR48:AX48" si="15">AR44*AR29</f>
        <v>-961766.79508439184</v>
      </c>
      <c r="AS48" s="318">
        <f t="shared" si="15"/>
        <v>-928346.32730153669</v>
      </c>
      <c r="AT48" s="318">
        <f t="shared" si="15"/>
        <v>-896087.18851499667</v>
      </c>
      <c r="AU48" s="318">
        <f t="shared" si="15"/>
        <v>-864949.0236631243</v>
      </c>
      <c r="AV48" s="318">
        <f t="shared" si="15"/>
        <v>-834892.87998371059</v>
      </c>
      <c r="AW48" s="318">
        <f t="shared" si="15"/>
        <v>-805881.15828543506</v>
      </c>
      <c r="AX48" s="318">
        <f t="shared" si="15"/>
        <v>-777877.56591258198</v>
      </c>
      <c r="AY48" s="27"/>
      <c r="AZ48" s="27"/>
      <c r="BA48" s="27"/>
      <c r="BB48" s="27"/>
      <c r="BC48" s="27"/>
      <c r="BD48" s="27"/>
      <c r="BE48" s="27"/>
      <c r="BF48" s="27"/>
      <c r="BG48" s="27"/>
      <c r="BH48" s="27"/>
      <c r="BI48" s="27"/>
      <c r="BJ48" s="27"/>
    </row>
    <row r="49" spans="1:62">
      <c r="A49" s="27"/>
      <c r="B49" s="27"/>
      <c r="C49" s="27" t="s">
        <v>29</v>
      </c>
      <c r="D49" s="27">
        <f>SUM(E49:CD49)</f>
        <v>-6446674.5137157561</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O49" s="238"/>
      <c r="AQ49" s="27">
        <f>AQ45*AQ29</f>
        <v>-850409.61209655821</v>
      </c>
      <c r="AR49" s="27">
        <f t="shared" ref="AR49:AX49" si="16">AR45*AR29</f>
        <v>-837275.87291359936</v>
      </c>
      <c r="AS49" s="27">
        <f t="shared" si="16"/>
        <v>-824344.97140142054</v>
      </c>
      <c r="AT49" s="27">
        <f t="shared" si="16"/>
        <v>-811613.77493190044</v>
      </c>
      <c r="AU49" s="27">
        <f t="shared" si="16"/>
        <v>-799079.1992572766</v>
      </c>
      <c r="AV49" s="27">
        <f t="shared" si="16"/>
        <v>-786738.20776295557</v>
      </c>
      <c r="AW49" s="27">
        <f t="shared" si="16"/>
        <v>-774587.81073186756</v>
      </c>
      <c r="AX49" s="27">
        <f t="shared" si="16"/>
        <v>-762625.06462017831</v>
      </c>
      <c r="AY49" s="27"/>
      <c r="AZ49" s="27"/>
      <c r="BA49" s="27"/>
      <c r="BB49" s="27"/>
      <c r="BC49" s="27"/>
      <c r="BD49" s="27"/>
      <c r="BE49" s="27"/>
      <c r="BF49" s="27"/>
      <c r="BG49" s="27"/>
      <c r="BH49" s="27"/>
      <c r="BI49" s="27"/>
      <c r="BJ49" s="27"/>
    </row>
    <row r="50" spans="1:62">
      <c r="A50" s="27"/>
      <c r="B50" s="27"/>
      <c r="C50" s="27" t="s">
        <v>30</v>
      </c>
      <c r="D50" s="27">
        <f>SUM(E50:CD50)</f>
        <v>-619516.82473745034</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O50" s="238"/>
      <c r="AQ50" s="27">
        <f>AQ46*AQ29</f>
        <v>-145980.78761087198</v>
      </c>
      <c r="AR50" s="27">
        <f t="shared" ref="AR50:AX50" si="17">AR46*AR29</f>
        <v>-124490.92217079227</v>
      </c>
      <c r="AS50" s="27">
        <f t="shared" si="17"/>
        <v>-104001.35590011612</v>
      </c>
      <c r="AT50" s="27">
        <f t="shared" si="17"/>
        <v>-84473.413583096219</v>
      </c>
      <c r="AU50" s="27">
        <f t="shared" si="17"/>
        <v>-65869.824405847699</v>
      </c>
      <c r="AV50" s="27">
        <f t="shared" si="17"/>
        <v>-48154.672220754983</v>
      </c>
      <c r="AW50" s="27">
        <f t="shared" si="17"/>
        <v>-31293.347553567448</v>
      </c>
      <c r="AX50" s="27">
        <f t="shared" si="17"/>
        <v>-15252.501292403565</v>
      </c>
      <c r="AY50" s="27"/>
      <c r="AZ50" s="27"/>
      <c r="BA50" s="27"/>
      <c r="BB50" s="27"/>
      <c r="BC50" s="27"/>
      <c r="BD50" s="27"/>
      <c r="BE50" s="27"/>
      <c r="BF50" s="27"/>
      <c r="BG50" s="27"/>
      <c r="BH50" s="27"/>
      <c r="BI50" s="27"/>
      <c r="BJ50" s="27"/>
    </row>
    <row r="51" spans="1:62">
      <c r="A51" s="24"/>
      <c r="C51" s="47"/>
      <c r="D51" s="47"/>
      <c r="E51" s="47"/>
      <c r="F51" s="47"/>
      <c r="G51" s="45"/>
    </row>
    <row r="52" spans="1:62">
      <c r="A52" s="24"/>
      <c r="C52" s="47"/>
      <c r="D52" s="47"/>
      <c r="E52" s="47"/>
      <c r="F52" s="47"/>
      <c r="G52" s="45"/>
      <c r="J52" s="48"/>
    </row>
    <row r="53" spans="1:62">
      <c r="A53" s="24"/>
      <c r="C53" s="47"/>
      <c r="D53" s="47"/>
      <c r="E53" s="47"/>
      <c r="F53" s="47"/>
      <c r="G53" s="45"/>
    </row>
    <row r="54" spans="1:62">
      <c r="A54" s="24"/>
      <c r="C54" s="47"/>
      <c r="D54" s="47"/>
      <c r="E54" s="47"/>
      <c r="F54" s="47"/>
      <c r="G54" s="45"/>
      <c r="J54" s="45"/>
    </row>
    <row r="55" spans="1:62">
      <c r="A55" s="24"/>
      <c r="C55" s="47"/>
      <c r="D55" s="47"/>
      <c r="E55" s="47"/>
      <c r="F55" s="47"/>
      <c r="G55" s="45"/>
    </row>
    <row r="56" spans="1:62">
      <c r="A56" s="24"/>
      <c r="C56" s="47"/>
      <c r="D56" s="47"/>
      <c r="E56" s="47"/>
      <c r="F56" s="47"/>
      <c r="G56" s="45"/>
    </row>
    <row r="57" spans="1:62">
      <c r="A57" s="24"/>
      <c r="C57" s="47"/>
      <c r="D57" s="47"/>
      <c r="E57" s="47"/>
      <c r="F57" s="47"/>
      <c r="G57" s="45"/>
    </row>
    <row r="58" spans="1:62">
      <c r="A58" s="24"/>
      <c r="C58" s="47"/>
      <c r="D58" s="47"/>
      <c r="E58" s="47"/>
      <c r="F58" s="47"/>
      <c r="G58" s="45"/>
    </row>
    <row r="59" spans="1:62">
      <c r="A59" s="24"/>
      <c r="C59" s="47"/>
      <c r="D59" s="47"/>
      <c r="E59" s="47"/>
      <c r="F59" s="47"/>
      <c r="G59" s="45"/>
    </row>
    <row r="60" spans="1:62">
      <c r="A60" s="24"/>
      <c r="C60" s="47"/>
      <c r="D60" s="47"/>
      <c r="E60" s="47"/>
      <c r="F60" s="47"/>
      <c r="G60" s="45"/>
    </row>
    <row r="61" spans="1:62">
      <c r="A61" s="24"/>
      <c r="C61" s="47"/>
      <c r="D61" s="47"/>
      <c r="E61" s="47"/>
      <c r="F61" s="47"/>
      <c r="G61" s="45"/>
    </row>
    <row r="62" spans="1:62">
      <c r="A62" s="24"/>
      <c r="C62" s="47"/>
      <c r="D62" s="47"/>
      <c r="E62" s="47"/>
      <c r="F62" s="47"/>
      <c r="G62" s="45"/>
    </row>
    <row r="63" spans="1:62">
      <c r="A63" s="24"/>
      <c r="C63" s="47"/>
      <c r="D63" s="47"/>
      <c r="E63" s="47"/>
      <c r="F63" s="47"/>
      <c r="G63" s="45"/>
    </row>
    <row r="64" spans="1:62">
      <c r="A64" s="24"/>
      <c r="C64" s="47"/>
      <c r="D64" s="47"/>
      <c r="E64" s="47"/>
      <c r="F64" s="47"/>
      <c r="G64" s="45"/>
    </row>
    <row r="65" spans="1:7">
      <c r="A65" s="24"/>
      <c r="C65" s="47"/>
      <c r="D65" s="47"/>
      <c r="E65" s="47"/>
      <c r="F65" s="47"/>
      <c r="G65" s="45"/>
    </row>
    <row r="66" spans="1:7">
      <c r="A66" s="24"/>
      <c r="C66" s="47"/>
      <c r="D66" s="47"/>
      <c r="E66" s="47"/>
      <c r="F66" s="47"/>
      <c r="G66" s="45"/>
    </row>
    <row r="67" spans="1:7">
      <c r="A67" s="24"/>
      <c r="C67" s="47"/>
      <c r="D67" s="47"/>
      <c r="E67" s="47"/>
      <c r="F67" s="47"/>
      <c r="G67" s="45"/>
    </row>
    <row r="68" spans="1:7">
      <c r="A68" s="24"/>
      <c r="C68" s="47"/>
      <c r="D68" s="47"/>
      <c r="E68" s="47"/>
      <c r="F68" s="47"/>
      <c r="G68" s="45"/>
    </row>
    <row r="69" spans="1:7">
      <c r="A69" s="24"/>
      <c r="C69" s="47"/>
      <c r="D69" s="47"/>
      <c r="E69" s="47"/>
      <c r="F69" s="47"/>
      <c r="G69" s="45"/>
    </row>
    <row r="70" spans="1:7">
      <c r="A70" s="24"/>
      <c r="C70" s="47"/>
      <c r="D70" s="47"/>
      <c r="E70" s="47"/>
      <c r="F70" s="47"/>
      <c r="G70" s="45"/>
    </row>
    <row r="71" spans="1:7">
      <c r="A71" s="24"/>
      <c r="C71" s="47"/>
      <c r="D71" s="47"/>
      <c r="E71" s="47"/>
      <c r="F71" s="47"/>
      <c r="G71" s="45"/>
    </row>
    <row r="72" spans="1:7">
      <c r="A72" s="24"/>
      <c r="C72" s="47"/>
      <c r="D72" s="47"/>
      <c r="E72" s="47"/>
      <c r="F72" s="47"/>
      <c r="G72" s="45"/>
    </row>
  </sheetData>
  <mergeCells count="5">
    <mergeCell ref="A6:D6"/>
    <mergeCell ref="F6:G6"/>
    <mergeCell ref="F11:G11"/>
    <mergeCell ref="A16:D16"/>
    <mergeCell ref="F17:G17"/>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DACF-B778-DF46-8F65-ADE7D1B3F180}">
  <sheetPr>
    <tabColor rgb="FF0070C0"/>
  </sheetPr>
  <dimension ref="A1:BX72"/>
  <sheetViews>
    <sheetView topLeftCell="A4" zoomScale="80" zoomScaleNormal="80" workbookViewId="0">
      <pane xSplit="4" ySplit="26" topLeftCell="E30" activePane="bottomRight" state="frozen"/>
      <selection activeCell="G19" sqref="G19"/>
      <selection pane="topRight" activeCell="G19" sqref="G19"/>
      <selection pane="bottomLeft" activeCell="G19" sqref="G19"/>
      <selection pane="bottomRight" activeCell="J16" sqref="J16"/>
    </sheetView>
  </sheetViews>
  <sheetFormatPr defaultColWidth="20.5" defaultRowHeight="15.6"/>
  <cols>
    <col min="1" max="1" width="9.5" customWidth="1"/>
    <col min="2" max="2" width="9.19921875" customWidth="1"/>
    <col min="3" max="3" width="20.296875" customWidth="1"/>
    <col min="4" max="4" width="2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100</v>
      </c>
    </row>
    <row r="5" spans="1:7" ht="21">
      <c r="A5" s="1"/>
    </row>
    <row r="6" spans="1:7" ht="21">
      <c r="A6" s="347" t="s">
        <v>1</v>
      </c>
      <c r="B6" s="348"/>
      <c r="C6" s="348"/>
      <c r="D6" s="349"/>
      <c r="F6" s="321" t="s">
        <v>2</v>
      </c>
      <c r="G6" s="322"/>
    </row>
    <row r="7" spans="1:7">
      <c r="A7" s="4" t="s">
        <v>3</v>
      </c>
      <c r="D7" s="115">
        <f>Data!D23</f>
        <v>1998</v>
      </c>
      <c r="F7" s="6" t="s">
        <v>4</v>
      </c>
      <c r="G7" s="7">
        <f>D13</f>
        <v>87980000</v>
      </c>
    </row>
    <row r="8" spans="1:7">
      <c r="A8" s="4" t="s">
        <v>5</v>
      </c>
      <c r="D8" s="8">
        <f>Data!F23</f>
        <v>0.04</v>
      </c>
      <c r="F8" s="6" t="s">
        <v>6</v>
      </c>
      <c r="G8" s="9">
        <f>D33*-1</f>
        <v>104539829.30775844</v>
      </c>
    </row>
    <row r="9" spans="1:7">
      <c r="A9" s="4" t="s">
        <v>7</v>
      </c>
      <c r="D9" s="10">
        <f>Data!G23</f>
        <v>4</v>
      </c>
      <c r="F9" s="11" t="s">
        <v>8</v>
      </c>
      <c r="G9" s="12">
        <f>D37*-1</f>
        <v>68908420.40450111</v>
      </c>
    </row>
    <row r="10" spans="1:7">
      <c r="A10" s="4" t="s">
        <v>9</v>
      </c>
      <c r="D10" s="10">
        <f>Data!E23</f>
        <v>8</v>
      </c>
    </row>
    <row r="11" spans="1:7">
      <c r="A11" s="4" t="s">
        <v>10</v>
      </c>
      <c r="D11" s="10">
        <v>2</v>
      </c>
      <c r="F11" s="321" t="s">
        <v>11</v>
      </c>
      <c r="G11" s="322"/>
    </row>
    <row r="12" spans="1:7">
      <c r="A12" s="4" t="s">
        <v>12</v>
      </c>
      <c r="D12" s="10">
        <f>(D10-D9)*2</f>
        <v>8</v>
      </c>
      <c r="F12" s="6" t="s">
        <v>4</v>
      </c>
      <c r="G12" s="7">
        <f>D13</f>
        <v>87980000</v>
      </c>
    </row>
    <row r="13" spans="1:7">
      <c r="A13" s="4" t="s">
        <v>13</v>
      </c>
      <c r="D13" s="49">
        <f>Data!B23</f>
        <v>87980000</v>
      </c>
      <c r="F13" s="6" t="s">
        <v>31</v>
      </c>
      <c r="G13" s="9">
        <f>D23</f>
        <v>87891876.329999998</v>
      </c>
    </row>
    <row r="14" spans="1:7">
      <c r="A14" s="13" t="s">
        <v>15</v>
      </c>
      <c r="B14" s="14"/>
      <c r="C14" s="14"/>
      <c r="D14" s="195">
        <v>6.83E-2</v>
      </c>
      <c r="F14" s="6" t="s">
        <v>6</v>
      </c>
      <c r="G14" s="9">
        <f>(D44)*-1</f>
        <v>99732244.466389611</v>
      </c>
    </row>
    <row r="15" spans="1:7">
      <c r="E15" s="16"/>
      <c r="F15" s="11" t="s">
        <v>8</v>
      </c>
      <c r="G15" s="12">
        <f>(D48)*-1</f>
        <v>11130838.258980202</v>
      </c>
    </row>
    <row r="16" spans="1:7" ht="20.399999999999999">
      <c r="A16" s="354" t="s">
        <v>16</v>
      </c>
      <c r="B16" s="355"/>
      <c r="C16" s="355"/>
      <c r="D16" s="356"/>
      <c r="E16" s="16"/>
      <c r="F16" s="16"/>
    </row>
    <row r="17" spans="1:75">
      <c r="A17" s="4" t="s">
        <v>17</v>
      </c>
      <c r="D17" s="17">
        <f>Data!H23</f>
        <v>2011</v>
      </c>
      <c r="E17" s="16"/>
      <c r="F17" s="323" t="s">
        <v>109</v>
      </c>
      <c r="G17" s="324"/>
      <c r="H17" s="120"/>
    </row>
    <row r="18" spans="1:75">
      <c r="A18" s="4" t="s">
        <v>5</v>
      </c>
      <c r="D18" s="18">
        <f>Data!N23</f>
        <v>0.02</v>
      </c>
      <c r="E18" s="16"/>
      <c r="F18" s="121" t="s">
        <v>44</v>
      </c>
      <c r="G18" s="118" t="s">
        <v>45</v>
      </c>
      <c r="H18" s="58"/>
    </row>
    <row r="19" spans="1:75">
      <c r="A19" s="4" t="s">
        <v>7</v>
      </c>
      <c r="D19" s="194">
        <f>Data!O23</f>
        <v>29.5</v>
      </c>
      <c r="E19" s="16"/>
      <c r="F19" s="119">
        <f>(1-((D8/D11)/D24))*(1-(((1/((1+D24)^(D11*D9)))-(1/((1+D24)^(D11*D10))))/(D24*(D11*D10-D11*D9))))+((D13-D23)/D13)</f>
        <v>5.0752594850245122E-2</v>
      </c>
      <c r="G19" s="122">
        <f>(1-((D18/D21)/D24))*(1-(((1/((1+D24)^(D21*D19)))-(1/((1+D24)^(D21*D20))))/(D24*(D21*D20-D21*D19))))+((D13-D23)/D13)</f>
        <v>0.47523928765316281</v>
      </c>
    </row>
    <row r="20" spans="1:75">
      <c r="A20" s="4" t="s">
        <v>9</v>
      </c>
      <c r="D20" s="194">
        <f>Data!M23</f>
        <v>35.5</v>
      </c>
      <c r="E20" s="16"/>
      <c r="F20" s="16"/>
    </row>
    <row r="21" spans="1:75">
      <c r="A21" s="4" t="s">
        <v>10</v>
      </c>
      <c r="D21" s="10">
        <v>2</v>
      </c>
      <c r="E21" s="16"/>
      <c r="F21" s="16"/>
      <c r="G21" s="27"/>
    </row>
    <row r="22" spans="1:75">
      <c r="A22" s="4" t="s">
        <v>12</v>
      </c>
      <c r="D22" s="10">
        <f>(D20-D19)*2</f>
        <v>12</v>
      </c>
      <c r="E22" s="16"/>
      <c r="F22" s="16"/>
    </row>
    <row r="23" spans="1:75">
      <c r="A23" s="4" t="s">
        <v>258</v>
      </c>
      <c r="D23" s="50">
        <f>Data!L23</f>
        <v>87891876.329999998</v>
      </c>
      <c r="E23" s="16"/>
      <c r="F23" s="16"/>
    </row>
    <row r="24" spans="1:75">
      <c r="A24" s="196" t="s">
        <v>187</v>
      </c>
      <c r="B24" s="14"/>
      <c r="C24" s="14"/>
      <c r="D24" s="195">
        <f>(1.05^0.5)-1</f>
        <v>2.4695076595959931E-2</v>
      </c>
      <c r="E24" s="16"/>
      <c r="F24" s="16"/>
    </row>
    <row r="25" spans="1:75" s="19" customFormat="1" ht="31.2">
      <c r="A25" s="302" t="s">
        <v>43</v>
      </c>
      <c r="E25" s="53" t="s">
        <v>25</v>
      </c>
      <c r="F25" s="20"/>
      <c r="M25" s="21" t="s">
        <v>21</v>
      </c>
      <c r="N25" s="51"/>
      <c r="O25" s="51"/>
      <c r="Q25" s="51"/>
      <c r="T25" s="51"/>
      <c r="W25" s="21" t="s">
        <v>89</v>
      </c>
      <c r="AD25" s="51"/>
      <c r="AE25" s="51"/>
      <c r="AL25" s="51"/>
      <c r="AX25" s="51"/>
      <c r="BD25" s="51"/>
      <c r="BE25" s="21" t="s">
        <v>40</v>
      </c>
      <c r="BH25" s="51"/>
      <c r="BO25" s="51"/>
      <c r="BP25" s="21" t="s">
        <v>22</v>
      </c>
    </row>
    <row r="26" spans="1:75" s="22" customFormat="1">
      <c r="A26"/>
      <c r="B26"/>
      <c r="C26"/>
      <c r="D26"/>
      <c r="E26" s="16"/>
      <c r="F26" s="1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75">
      <c r="A27" s="2" t="s">
        <v>23</v>
      </c>
      <c r="D27" s="2"/>
      <c r="E27" s="23" t="s">
        <v>104</v>
      </c>
      <c r="F27" s="24">
        <v>37621</v>
      </c>
      <c r="G27" s="24">
        <v>37802</v>
      </c>
      <c r="H27" s="24">
        <v>37986</v>
      </c>
      <c r="I27" s="24">
        <v>38168</v>
      </c>
      <c r="J27" s="24">
        <v>38352</v>
      </c>
      <c r="K27" s="24">
        <v>38533</v>
      </c>
      <c r="L27" s="24">
        <v>38717</v>
      </c>
      <c r="M27" s="24">
        <v>38898</v>
      </c>
      <c r="N27" s="24">
        <v>39082</v>
      </c>
      <c r="O27" s="24">
        <v>39263</v>
      </c>
      <c r="P27" s="24">
        <v>39447</v>
      </c>
      <c r="Q27" s="24">
        <v>39629</v>
      </c>
      <c r="R27" s="24">
        <v>39813</v>
      </c>
      <c r="S27" s="24">
        <v>39994</v>
      </c>
      <c r="T27" s="24">
        <v>40178</v>
      </c>
      <c r="U27" s="24">
        <v>40359</v>
      </c>
      <c r="V27" s="24">
        <v>40543</v>
      </c>
      <c r="W27" s="24">
        <v>40724</v>
      </c>
      <c r="X27" s="24">
        <v>40908</v>
      </c>
      <c r="Y27" s="24">
        <v>41090</v>
      </c>
      <c r="Z27" s="24">
        <v>41274</v>
      </c>
      <c r="AA27" s="24">
        <v>41455</v>
      </c>
      <c r="AB27" s="24">
        <v>41639</v>
      </c>
      <c r="AC27" s="24">
        <v>41820</v>
      </c>
      <c r="AD27" s="24">
        <v>42004</v>
      </c>
      <c r="AE27" s="24">
        <v>42185</v>
      </c>
      <c r="AF27" s="24">
        <v>42369</v>
      </c>
      <c r="AG27" s="24">
        <v>42551</v>
      </c>
      <c r="AH27" s="24">
        <v>42735</v>
      </c>
      <c r="AI27" s="24">
        <v>42916</v>
      </c>
      <c r="AJ27" s="24">
        <v>43100</v>
      </c>
      <c r="AK27" s="24">
        <v>43281</v>
      </c>
      <c r="AL27" s="24">
        <v>43465</v>
      </c>
      <c r="AM27" s="24">
        <v>43646</v>
      </c>
      <c r="AN27" s="24">
        <v>43830</v>
      </c>
      <c r="AO27" s="24">
        <v>44012</v>
      </c>
      <c r="AP27" s="24">
        <v>44196</v>
      </c>
      <c r="AQ27" s="24">
        <v>44377</v>
      </c>
      <c r="AR27" s="24">
        <v>44561</v>
      </c>
      <c r="AS27" s="24">
        <v>44742</v>
      </c>
      <c r="AT27" s="24">
        <v>44926</v>
      </c>
      <c r="AU27" s="24">
        <v>45107</v>
      </c>
      <c r="AV27" s="24">
        <v>45291</v>
      </c>
      <c r="AW27" s="24">
        <v>45473</v>
      </c>
      <c r="AX27" s="24">
        <v>45657</v>
      </c>
      <c r="AY27" s="24">
        <v>45838</v>
      </c>
      <c r="AZ27" s="24">
        <v>46022</v>
      </c>
      <c r="BA27" s="24">
        <v>46203</v>
      </c>
      <c r="BB27" s="24">
        <v>46387</v>
      </c>
      <c r="BC27" s="24">
        <v>46568</v>
      </c>
      <c r="BD27" s="24">
        <v>46752</v>
      </c>
      <c r="BE27" s="24">
        <v>46934</v>
      </c>
      <c r="BF27" s="24">
        <v>47118</v>
      </c>
      <c r="BG27" s="24">
        <v>47299</v>
      </c>
      <c r="BH27" s="24">
        <v>47483</v>
      </c>
      <c r="BI27" s="24">
        <v>47664</v>
      </c>
      <c r="BJ27" s="24">
        <v>47848</v>
      </c>
      <c r="BK27" s="24">
        <v>48029</v>
      </c>
      <c r="BL27" s="24">
        <v>48213</v>
      </c>
      <c r="BM27" s="24">
        <v>48395</v>
      </c>
      <c r="BN27" s="24">
        <v>48579</v>
      </c>
      <c r="BO27" s="24">
        <v>48760</v>
      </c>
      <c r="BP27" s="24">
        <v>48944</v>
      </c>
      <c r="BQ27" s="23"/>
      <c r="BR27" s="24"/>
      <c r="BS27" s="23"/>
      <c r="BT27" s="24"/>
      <c r="BU27" s="23"/>
      <c r="BV27" s="24"/>
      <c r="BW27" s="23"/>
    </row>
    <row r="28" spans="1:75">
      <c r="A28" s="2" t="s">
        <v>38</v>
      </c>
      <c r="D28" s="2"/>
      <c r="E28" s="23"/>
      <c r="F28" s="52">
        <f>D9*2+1</f>
        <v>9</v>
      </c>
      <c r="G28" s="52">
        <f>F28+1</f>
        <v>10</v>
      </c>
      <c r="H28" s="52">
        <f t="shared" ref="H28:AX28" si="0">G28+1</f>
        <v>11</v>
      </c>
      <c r="I28" s="52">
        <f t="shared" si="0"/>
        <v>12</v>
      </c>
      <c r="J28" s="52">
        <f t="shared" si="0"/>
        <v>13</v>
      </c>
      <c r="K28" s="52">
        <f t="shared" si="0"/>
        <v>14</v>
      </c>
      <c r="L28" s="52">
        <f t="shared" si="0"/>
        <v>15</v>
      </c>
      <c r="M28" s="52">
        <f t="shared" si="0"/>
        <v>16</v>
      </c>
      <c r="N28" s="52">
        <f t="shared" si="0"/>
        <v>17</v>
      </c>
      <c r="O28" s="52">
        <f t="shared" si="0"/>
        <v>18</v>
      </c>
      <c r="P28" s="52">
        <f t="shared" si="0"/>
        <v>19</v>
      </c>
      <c r="Q28" s="52">
        <f t="shared" si="0"/>
        <v>20</v>
      </c>
      <c r="R28" s="52">
        <f t="shared" si="0"/>
        <v>21</v>
      </c>
      <c r="S28" s="52">
        <f t="shared" si="0"/>
        <v>22</v>
      </c>
      <c r="T28" s="52">
        <f t="shared" si="0"/>
        <v>23</v>
      </c>
      <c r="U28" s="52">
        <f t="shared" si="0"/>
        <v>24</v>
      </c>
      <c r="V28" s="52">
        <f t="shared" si="0"/>
        <v>25</v>
      </c>
      <c r="W28" s="52">
        <f t="shared" si="0"/>
        <v>26</v>
      </c>
      <c r="X28" s="52">
        <f t="shared" si="0"/>
        <v>27</v>
      </c>
      <c r="Y28" s="52">
        <f t="shared" si="0"/>
        <v>28</v>
      </c>
      <c r="Z28" s="52">
        <f t="shared" si="0"/>
        <v>29</v>
      </c>
      <c r="AA28" s="52">
        <f t="shared" si="0"/>
        <v>30</v>
      </c>
      <c r="AB28" s="52">
        <f t="shared" si="0"/>
        <v>31</v>
      </c>
      <c r="AC28" s="52">
        <f t="shared" si="0"/>
        <v>32</v>
      </c>
      <c r="AD28" s="52">
        <f t="shared" si="0"/>
        <v>33</v>
      </c>
      <c r="AE28" s="52">
        <f t="shared" si="0"/>
        <v>34</v>
      </c>
      <c r="AF28" s="52">
        <f t="shared" si="0"/>
        <v>35</v>
      </c>
      <c r="AG28" s="52">
        <f t="shared" si="0"/>
        <v>36</v>
      </c>
      <c r="AH28" s="52">
        <f t="shared" si="0"/>
        <v>37</v>
      </c>
      <c r="AI28" s="52">
        <f t="shared" si="0"/>
        <v>38</v>
      </c>
      <c r="AJ28" s="52">
        <f t="shared" si="0"/>
        <v>39</v>
      </c>
      <c r="AK28" s="52">
        <f t="shared" si="0"/>
        <v>40</v>
      </c>
      <c r="AL28" s="52">
        <f t="shared" si="0"/>
        <v>41</v>
      </c>
      <c r="AM28" s="52">
        <f t="shared" si="0"/>
        <v>42</v>
      </c>
      <c r="AN28" s="52">
        <f t="shared" si="0"/>
        <v>43</v>
      </c>
      <c r="AO28" s="52">
        <f t="shared" si="0"/>
        <v>44</v>
      </c>
      <c r="AP28" s="52">
        <f t="shared" si="0"/>
        <v>45</v>
      </c>
      <c r="AQ28" s="52">
        <f t="shared" si="0"/>
        <v>46</v>
      </c>
      <c r="AR28" s="52">
        <f t="shared" si="0"/>
        <v>47</v>
      </c>
      <c r="AS28" s="52">
        <f t="shared" si="0"/>
        <v>48</v>
      </c>
      <c r="AT28" s="52">
        <f t="shared" si="0"/>
        <v>49</v>
      </c>
      <c r="AU28" s="52">
        <f t="shared" si="0"/>
        <v>50</v>
      </c>
      <c r="AV28" s="52">
        <f t="shared" si="0"/>
        <v>51</v>
      </c>
      <c r="AW28" s="52">
        <f t="shared" si="0"/>
        <v>52</v>
      </c>
      <c r="AX28" s="52">
        <f t="shared" si="0"/>
        <v>53</v>
      </c>
      <c r="AY28" s="52">
        <f t="shared" ref="AY28" si="1">AX28+1</f>
        <v>54</v>
      </c>
      <c r="AZ28" s="52">
        <f t="shared" ref="AZ28" si="2">AY28+1</f>
        <v>55</v>
      </c>
      <c r="BA28" s="52">
        <f t="shared" ref="BA28" si="3">AZ28+1</f>
        <v>56</v>
      </c>
      <c r="BB28" s="52">
        <f t="shared" ref="BB28" si="4">BA28+1</f>
        <v>57</v>
      </c>
      <c r="BC28" s="52">
        <f t="shared" ref="BC28" si="5">BB28+1</f>
        <v>58</v>
      </c>
      <c r="BD28" s="52">
        <f t="shared" ref="BD28" si="6">BC28+1</f>
        <v>59</v>
      </c>
      <c r="BE28" s="52">
        <f t="shared" ref="BE28" si="7">BD28+1</f>
        <v>60</v>
      </c>
      <c r="BF28" s="52">
        <f t="shared" ref="BF28" si="8">BE28+1</f>
        <v>61</v>
      </c>
      <c r="BG28" s="52">
        <f t="shared" ref="BG28" si="9">BF28+1</f>
        <v>62</v>
      </c>
      <c r="BH28" s="52">
        <f t="shared" ref="BH28" si="10">BG28+1</f>
        <v>63</v>
      </c>
      <c r="BI28" s="52">
        <f t="shared" ref="BI28" si="11">BH28+1</f>
        <v>64</v>
      </c>
      <c r="BJ28" s="52">
        <f t="shared" ref="BJ28" si="12">BI28+1</f>
        <v>65</v>
      </c>
      <c r="BK28" s="52">
        <f t="shared" ref="BK28" si="13">BJ28+1</f>
        <v>66</v>
      </c>
      <c r="BL28" s="52">
        <f t="shared" ref="BL28" si="14">BK28+1</f>
        <v>67</v>
      </c>
      <c r="BM28" s="52">
        <f t="shared" ref="BM28" si="15">BL28+1</f>
        <v>68</v>
      </c>
      <c r="BN28" s="52">
        <f t="shared" ref="BN28:BP28" si="16">BM28+1</f>
        <v>69</v>
      </c>
      <c r="BO28" s="52">
        <f t="shared" ref="BO28" si="17">BN28+1</f>
        <v>70</v>
      </c>
      <c r="BP28" s="52">
        <f t="shared" si="16"/>
        <v>71</v>
      </c>
      <c r="BQ28" s="23"/>
      <c r="BR28" s="24"/>
      <c r="BS28" s="23"/>
      <c r="BT28" s="24"/>
      <c r="BU28" s="23"/>
      <c r="BV28" s="24"/>
      <c r="BW28" s="23"/>
    </row>
    <row r="29" spans="1:75">
      <c r="A29" s="2" t="s">
        <v>26</v>
      </c>
      <c r="E29" s="25"/>
      <c r="F29" s="25">
        <f>1/(1+($D14/$D11))^(F28)</f>
        <v>0.73917653763649804</v>
      </c>
      <c r="G29" s="25">
        <f t="shared" ref="G29:BP29" si="18">1/(1+($D14/$D11))^(G28)</f>
        <v>0.71476723650969209</v>
      </c>
      <c r="H29" s="25">
        <f t="shared" si="18"/>
        <v>0.69116398637498644</v>
      </c>
      <c r="I29" s="25">
        <f t="shared" si="18"/>
        <v>0.66834016958370301</v>
      </c>
      <c r="J29" s="25">
        <f t="shared" si="18"/>
        <v>0.646270047462847</v>
      </c>
      <c r="K29" s="25">
        <f t="shared" si="18"/>
        <v>0.6249287312893167</v>
      </c>
      <c r="L29" s="25">
        <f t="shared" si="18"/>
        <v>0.60429215422261462</v>
      </c>
      <c r="M29" s="25">
        <f t="shared" si="18"/>
        <v>0.58433704416440035</v>
      </c>
      <c r="N29" s="25">
        <f t="shared" si="18"/>
        <v>0.56504089751428754</v>
      </c>
      <c r="O29" s="25">
        <f t="shared" si="18"/>
        <v>0.54638195379228116</v>
      </c>
      <c r="P29" s="25">
        <f t="shared" si="18"/>
        <v>0.52833917109924211</v>
      </c>
      <c r="Q29" s="25">
        <f t="shared" si="18"/>
        <v>0.51089220238770217</v>
      </c>
      <c r="R29" s="25">
        <f t="shared" si="18"/>
        <v>0.4940213725162716</v>
      </c>
      <c r="S29" s="25">
        <f t="shared" si="18"/>
        <v>0.47770765606176235</v>
      </c>
      <c r="T29" s="25">
        <f t="shared" si="18"/>
        <v>0.46193265586400656</v>
      </c>
      <c r="U29" s="25">
        <f t="shared" si="18"/>
        <v>0.4466785822791729</v>
      </c>
      <c r="V29" s="25">
        <f t="shared" si="18"/>
        <v>0.4319282331181869</v>
      </c>
      <c r="W29" s="25">
        <f t="shared" si="18"/>
        <v>0.41766497424763038</v>
      </c>
      <c r="X29" s="25">
        <f t="shared" si="18"/>
        <v>0.40387272083124343</v>
      </c>
      <c r="Y29" s="25">
        <f t="shared" si="18"/>
        <v>0.3905359191908751</v>
      </c>
      <c r="Z29" s="25">
        <f t="shared" si="18"/>
        <v>0.37763952926642669</v>
      </c>
      <c r="AA29" s="25">
        <f t="shared" si="18"/>
        <v>0.36516900765500815</v>
      </c>
      <c r="AB29" s="25">
        <f t="shared" si="18"/>
        <v>0.35311029121018062</v>
      </c>
      <c r="AC29" s="25">
        <f t="shared" si="18"/>
        <v>0.3414497811827884</v>
      </c>
      <c r="AD29" s="25">
        <f t="shared" si="18"/>
        <v>0.33017432788549866</v>
      </c>
      <c r="AE29" s="25">
        <f t="shared" si="18"/>
        <v>0.31927121586375157</v>
      </c>
      <c r="AF29" s="25">
        <f t="shared" si="18"/>
        <v>0.30872814955640049</v>
      </c>
      <c r="AG29" s="25">
        <f t="shared" si="18"/>
        <v>0.29853323942987048</v>
      </c>
      <c r="AH29" s="25">
        <f t="shared" si="18"/>
        <v>0.2886749885701983</v>
      </c>
      <c r="AI29" s="25">
        <f t="shared" si="18"/>
        <v>0.27914227971783423</v>
      </c>
      <c r="AJ29" s="25">
        <f t="shared" si="18"/>
        <v>0.26992436273058479</v>
      </c>
      <c r="AK29" s="25">
        <f t="shared" si="18"/>
        <v>0.26101084246055678</v>
      </c>
      <c r="AL29" s="25">
        <f t="shared" si="18"/>
        <v>0.2523916670314334</v>
      </c>
      <c r="AM29" s="25">
        <f t="shared" si="18"/>
        <v>0.24405711650286072</v>
      </c>
      <c r="AN29" s="25">
        <f t="shared" si="18"/>
        <v>0.23599779190916281</v>
      </c>
      <c r="AO29" s="25">
        <f t="shared" si="18"/>
        <v>0.2282046046600231</v>
      </c>
      <c r="AP29" s="25">
        <f t="shared" si="18"/>
        <v>0.22066876629117937</v>
      </c>
      <c r="AQ29" s="25">
        <f t="shared" si="18"/>
        <v>0.21338177855357474</v>
      </c>
      <c r="AR29" s="25">
        <f t="shared" si="18"/>
        <v>0.20633542382978756</v>
      </c>
      <c r="AS29" s="25">
        <f t="shared" si="18"/>
        <v>0.19952175586693183</v>
      </c>
      <c r="AT29" s="25">
        <f t="shared" si="18"/>
        <v>0.19293309081557986</v>
      </c>
      <c r="AU29" s="25">
        <f t="shared" si="18"/>
        <v>0.18656199856459879</v>
      </c>
      <c r="AV29" s="25">
        <f t="shared" si="18"/>
        <v>0.18040129436213201</v>
      </c>
      <c r="AW29" s="25">
        <f t="shared" si="18"/>
        <v>0.17444403071327375</v>
      </c>
      <c r="AX29" s="25">
        <f t="shared" si="18"/>
        <v>0.16868348954530171</v>
      </c>
      <c r="AY29" s="25">
        <f t="shared" si="18"/>
        <v>0.1631131746316315</v>
      </c>
      <c r="AZ29" s="25">
        <f t="shared" si="18"/>
        <v>0.15772680426594934</v>
      </c>
      <c r="BA29" s="25">
        <f t="shared" si="18"/>
        <v>0.15251830417826173</v>
      </c>
      <c r="BB29" s="25">
        <f t="shared" si="18"/>
        <v>0.14748180068487332</v>
      </c>
      <c r="BC29" s="25">
        <f t="shared" si="18"/>
        <v>0.14261161406456832</v>
      </c>
      <c r="BD29" s="25">
        <f t="shared" si="18"/>
        <v>0.13790225215352545</v>
      </c>
      <c r="BE29" s="25">
        <f t="shared" si="18"/>
        <v>0.13334840415174343</v>
      </c>
      <c r="BF29" s="25">
        <f t="shared" si="18"/>
        <v>0.12894493463399259</v>
      </c>
      <c r="BG29" s="25">
        <f t="shared" si="18"/>
        <v>0.12468687775853851</v>
      </c>
      <c r="BH29" s="25">
        <f t="shared" si="18"/>
        <v>0.12056943166710685</v>
      </c>
      <c r="BI29" s="25">
        <f t="shared" si="18"/>
        <v>0.11658795306977406</v>
      </c>
      <c r="BJ29" s="25">
        <f t="shared" si="18"/>
        <v>0.11273795200867771</v>
      </c>
      <c r="BK29" s="25">
        <f t="shared" si="18"/>
        <v>0.10901508679464075</v>
      </c>
      <c r="BL29" s="25">
        <f t="shared" si="18"/>
        <v>0.10541515911100011</v>
      </c>
      <c r="BM29" s="25">
        <f t="shared" si="18"/>
        <v>0.10193410927911824</v>
      </c>
      <c r="BN29" s="25">
        <f t="shared" si="18"/>
        <v>9.8568011680238113E-2</v>
      </c>
      <c r="BO29" s="25">
        <f t="shared" si="18"/>
        <v>9.5313070328519184E-2</v>
      </c>
      <c r="BP29" s="25">
        <f t="shared" si="18"/>
        <v>9.2165614590261763E-2</v>
      </c>
      <c r="BQ29" s="25"/>
      <c r="BR29" s="25"/>
      <c r="BS29" s="25"/>
      <c r="BT29" s="25"/>
      <c r="BU29" s="25"/>
      <c r="BV29" s="25"/>
      <c r="BW29" s="25"/>
    </row>
    <row r="30" spans="1:75">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 t="s">
        <v>37</v>
      </c>
      <c r="D32" s="2"/>
      <c r="E32" s="23"/>
      <c r="F32">
        <v>1</v>
      </c>
      <c r="G32">
        <v>2</v>
      </c>
      <c r="H32">
        <v>3</v>
      </c>
      <c r="I32">
        <v>4</v>
      </c>
      <c r="J32">
        <v>5</v>
      </c>
      <c r="K32">
        <v>6</v>
      </c>
      <c r="L32">
        <v>7</v>
      </c>
      <c r="M32">
        <v>8</v>
      </c>
      <c r="BI32" s="23"/>
      <c r="BJ32" s="24"/>
      <c r="BK32" s="23"/>
      <c r="BL32" s="24"/>
      <c r="BM32" s="23"/>
      <c r="BN32" s="24"/>
      <c r="BO32" s="23"/>
      <c r="BP32" s="24"/>
      <c r="BQ32" s="23"/>
      <c r="BR32" s="24"/>
      <c r="BS32" s="23"/>
      <c r="BT32" s="24"/>
      <c r="BU32" s="23"/>
      <c r="BV32" s="24"/>
      <c r="BW32" s="23"/>
    </row>
    <row r="33" spans="1:76">
      <c r="A33" s="27"/>
      <c r="B33" s="26" t="s">
        <v>28</v>
      </c>
      <c r="C33" s="27"/>
      <c r="D33" s="27">
        <f>SUM(E33:CC33)</f>
        <v>-104539829.30775844</v>
      </c>
      <c r="E33" s="27"/>
      <c r="F33" s="27">
        <f>PMT($D$8,$D$12,$D$13)</f>
        <v>-13067478.663469804</v>
      </c>
      <c r="G33" s="27">
        <f t="shared" ref="G33:M33" si="19">PMT($D$8,$D$12,$D$13)</f>
        <v>-13067478.663469804</v>
      </c>
      <c r="H33" s="27">
        <f t="shared" si="19"/>
        <v>-13067478.663469804</v>
      </c>
      <c r="I33" s="27">
        <f t="shared" si="19"/>
        <v>-13067478.663469804</v>
      </c>
      <c r="J33" s="27">
        <f t="shared" si="19"/>
        <v>-13067478.663469804</v>
      </c>
      <c r="K33" s="27">
        <f t="shared" si="19"/>
        <v>-13067478.663469804</v>
      </c>
      <c r="L33" s="27">
        <f t="shared" si="19"/>
        <v>-13067478.663469804</v>
      </c>
      <c r="M33" s="27">
        <f t="shared" si="19"/>
        <v>-13067478.663469804</v>
      </c>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6">
      <c r="A34" s="27"/>
      <c r="B34" s="27"/>
      <c r="C34" s="27" t="s">
        <v>29</v>
      </c>
      <c r="D34" s="27">
        <f t="shared" ref="D34:D35" si="20">SUM(E34:CC34)</f>
        <v>-87980000.000000015</v>
      </c>
      <c r="E34" s="27"/>
      <c r="F34" s="27">
        <f t="shared" ref="F34:M34" si="21">PPMT($D$8,F32,$D$12,$D$13)</f>
        <v>-9548278.6634698026</v>
      </c>
      <c r="G34" s="27">
        <f t="shared" si="21"/>
        <v>-9930209.8100085948</v>
      </c>
      <c r="H34" s="27">
        <f t="shared" si="21"/>
        <v>-10327418.202408938</v>
      </c>
      <c r="I34" s="27">
        <f t="shared" si="21"/>
        <v>-10740514.930505298</v>
      </c>
      <c r="J34" s="27">
        <f t="shared" si="21"/>
        <v>-11170135.527725508</v>
      </c>
      <c r="K34" s="27">
        <f t="shared" si="21"/>
        <v>-11616940.948834529</v>
      </c>
      <c r="L34" s="27">
        <f t="shared" si="21"/>
        <v>-12081618.586787911</v>
      </c>
      <c r="M34" s="27">
        <f t="shared" si="21"/>
        <v>-12564883.330259426</v>
      </c>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6">
      <c r="A35" s="27"/>
      <c r="B35" s="27"/>
      <c r="C35" s="27" t="s">
        <v>30</v>
      </c>
      <c r="D35" s="27">
        <f t="shared" si="20"/>
        <v>-16559829.307758419</v>
      </c>
      <c r="E35" s="27"/>
      <c r="F35" s="27">
        <f t="shared" ref="F35:M35" si="22">IPMT($D$8,F32,$D$12,$D13)</f>
        <v>-3519200</v>
      </c>
      <c r="G35" s="27">
        <f t="shared" si="22"/>
        <v>-3137268.8534612078</v>
      </c>
      <c r="H35" s="27">
        <f t="shared" si="22"/>
        <v>-2740060.4610608644</v>
      </c>
      <c r="I35" s="27">
        <f t="shared" si="22"/>
        <v>-2326963.7329645064</v>
      </c>
      <c r="J35" s="27">
        <f t="shared" si="22"/>
        <v>-1897343.1357442949</v>
      </c>
      <c r="K35" s="27">
        <f t="shared" si="22"/>
        <v>-1450537.7146352748</v>
      </c>
      <c r="L35" s="27">
        <f t="shared" si="22"/>
        <v>-985860.07668189344</v>
      </c>
      <c r="M35" s="27">
        <f t="shared" si="22"/>
        <v>-502595.33321037708</v>
      </c>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6">
      <c r="A36" s="27"/>
      <c r="B36" s="33" t="s">
        <v>31</v>
      </c>
      <c r="C36" s="33"/>
      <c r="D36" s="27"/>
      <c r="E36" s="34">
        <f>D13</f>
        <v>87980000</v>
      </c>
      <c r="F36" s="34">
        <f t="shared" ref="F36:M36" si="23">E$36+F$34</f>
        <v>78431721.336530194</v>
      </c>
      <c r="G36" s="34">
        <f t="shared" si="23"/>
        <v>68501511.526521593</v>
      </c>
      <c r="H36" s="34">
        <f t="shared" si="23"/>
        <v>58174093.324112654</v>
      </c>
      <c r="I36" s="34">
        <f t="shared" si="23"/>
        <v>47433578.393607356</v>
      </c>
      <c r="J36" s="34">
        <f t="shared" si="23"/>
        <v>36263442.865881845</v>
      </c>
      <c r="K36" s="34">
        <f t="shared" si="23"/>
        <v>24646501.917047314</v>
      </c>
      <c r="L36" s="34">
        <f t="shared" si="23"/>
        <v>12564883.330259403</v>
      </c>
      <c r="M36" s="34">
        <f t="shared" si="23"/>
        <v>-2.2351741790771484E-8</v>
      </c>
      <c r="N36" s="34"/>
      <c r="O36" s="34"/>
      <c r="P36" s="34"/>
      <c r="Q36" s="34"/>
      <c r="R36" s="34"/>
      <c r="S36" s="34"/>
      <c r="T36" s="34"/>
      <c r="U36" s="34"/>
      <c r="V36" s="34"/>
      <c r="W36" s="34"/>
      <c r="X36" s="34"/>
      <c r="Y36" s="34"/>
      <c r="Z36" s="34"/>
      <c r="AA36" s="34"/>
      <c r="AB36" s="34"/>
      <c r="AC36" s="34"/>
      <c r="AD36" s="34"/>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6">
      <c r="A37" s="27"/>
      <c r="B37" s="26" t="s">
        <v>32</v>
      </c>
      <c r="C37" s="27"/>
      <c r="D37" s="27">
        <f t="shared" ref="D37:D39" si="24">SUM(E37:CC37)</f>
        <v>-68908420.40450111</v>
      </c>
      <c r="E37" s="34"/>
      <c r="F37" s="34">
        <f t="shared" ref="F37:M37" si="25">F33*F29</f>
        <v>-9659173.6341024227</v>
      </c>
      <c r="G37" s="34">
        <f t="shared" si="25"/>
        <v>-9340205.6124376766</v>
      </c>
      <c r="H37" s="34">
        <f t="shared" si="25"/>
        <v>-9031770.6449138708</v>
      </c>
      <c r="I37" s="34">
        <f t="shared" si="25"/>
        <v>-8733520.9059748296</v>
      </c>
      <c r="J37" s="34">
        <f t="shared" si="25"/>
        <v>-8445120.0560603701</v>
      </c>
      <c r="K37" s="34">
        <f t="shared" si="25"/>
        <v>-8166242.8623124007</v>
      </c>
      <c r="L37" s="34">
        <f t="shared" si="25"/>
        <v>-7896574.831806221</v>
      </c>
      <c r="M37" s="34">
        <f t="shared" si="25"/>
        <v>-7635811.856893314</v>
      </c>
      <c r="N37" s="34"/>
      <c r="O37" s="34"/>
      <c r="P37" s="34"/>
      <c r="Q37" s="34"/>
      <c r="R37" s="34"/>
      <c r="S37" s="34"/>
      <c r="T37" s="34"/>
      <c r="U37" s="34"/>
      <c r="V37" s="34"/>
      <c r="W37" s="34"/>
      <c r="X37" s="34"/>
      <c r="Y37" s="34"/>
      <c r="Z37" s="34"/>
      <c r="AA37" s="34"/>
      <c r="AB37" s="34"/>
      <c r="AC37" s="34"/>
      <c r="AD37" s="34"/>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6">
      <c r="A38" s="27"/>
      <c r="B38" s="27"/>
      <c r="C38" s="27" t="s">
        <v>29</v>
      </c>
      <c r="D38" s="27">
        <f t="shared" si="24"/>
        <v>-57593547.584590159</v>
      </c>
      <c r="E38" s="34"/>
      <c r="F38" s="34">
        <f t="shared" ref="F38:M38" si="26">F34*F29</f>
        <v>-7057863.5628520576</v>
      </c>
      <c r="G38" s="34">
        <f t="shared" si="26"/>
        <v>-7097788.6238612775</v>
      </c>
      <c r="H38" s="34">
        <f t="shared" si="26"/>
        <v>-7137939.5337385582</v>
      </c>
      <c r="I38" s="34">
        <f t="shared" si="26"/>
        <v>-7178317.5700702053</v>
      </c>
      <c r="J38" s="34">
        <f t="shared" si="26"/>
        <v>-7218924.0176695976</v>
      </c>
      <c r="K38" s="34">
        <f t="shared" si="26"/>
        <v>-7259760.1686180728</v>
      </c>
      <c r="L38" s="34">
        <f t="shared" si="26"/>
        <v>-7300827.3223060481</v>
      </c>
      <c r="M38" s="34">
        <f t="shared" si="26"/>
        <v>-7342126.7854743395</v>
      </c>
      <c r="N38" s="34"/>
      <c r="O38" s="34"/>
      <c r="P38" s="34"/>
      <c r="Q38" s="34"/>
      <c r="R38" s="34"/>
      <c r="S38" s="34"/>
      <c r="T38" s="34"/>
      <c r="U38" s="34"/>
      <c r="V38" s="34"/>
      <c r="W38" s="34"/>
      <c r="X38" s="34"/>
      <c r="Y38" s="34"/>
      <c r="Z38" s="34"/>
      <c r="AA38" s="34"/>
      <c r="AB38" s="34"/>
      <c r="AC38" s="34"/>
      <c r="AD38" s="34"/>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6">
      <c r="A39" s="27"/>
      <c r="B39" s="27"/>
      <c r="C39" s="27" t="s">
        <v>30</v>
      </c>
      <c r="D39" s="27">
        <f t="shared" si="24"/>
        <v>-11314872.819910944</v>
      </c>
      <c r="E39" s="34"/>
      <c r="F39" s="34">
        <f t="shared" ref="F39:M39" si="27">F35*F29</f>
        <v>-2601310.0712503637</v>
      </c>
      <c r="G39" s="34">
        <f t="shared" si="27"/>
        <v>-2242416.9885763978</v>
      </c>
      <c r="H39" s="34">
        <f t="shared" si="27"/>
        <v>-1893831.1111753103</v>
      </c>
      <c r="I39" s="34">
        <f t="shared" si="27"/>
        <v>-1555203.3359046248</v>
      </c>
      <c r="J39" s="34">
        <f t="shared" si="27"/>
        <v>-1226196.0383907724</v>
      </c>
      <c r="K39" s="34">
        <f t="shared" si="27"/>
        <v>-906482.69369432726</v>
      </c>
      <c r="L39" s="34">
        <f t="shared" si="27"/>
        <v>-595747.50950017339</v>
      </c>
      <c r="M39" s="34">
        <f t="shared" si="27"/>
        <v>-293685.07141897362</v>
      </c>
      <c r="N39" s="34"/>
      <c r="O39" s="34"/>
      <c r="P39" s="34"/>
      <c r="Q39" s="34"/>
      <c r="R39" s="34"/>
      <c r="S39" s="34"/>
      <c r="T39" s="34"/>
      <c r="U39" s="34"/>
      <c r="V39" s="34"/>
      <c r="W39" s="34"/>
      <c r="X39" s="34"/>
      <c r="Y39" s="34"/>
      <c r="Z39" s="34"/>
      <c r="AA39" s="34"/>
      <c r="AB39" s="34"/>
      <c r="AC39" s="34"/>
      <c r="AD39" s="34"/>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6">
      <c r="A40" s="26"/>
      <c r="B40" s="27"/>
      <c r="C40" s="27"/>
      <c r="D40" s="27"/>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6" s="32" customFormat="1" ht="21">
      <c r="A41" s="29" t="s">
        <v>33</v>
      </c>
      <c r="B41" s="30"/>
      <c r="C41" s="30"/>
      <c r="D41" s="30"/>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6" s="40" customFormat="1">
      <c r="A42" s="241" t="s">
        <v>150</v>
      </c>
      <c r="B42" s="242"/>
      <c r="C42" s="243"/>
      <c r="D42" s="37"/>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6">
      <c r="A43" s="2" t="s">
        <v>24</v>
      </c>
      <c r="D43" s="2"/>
      <c r="E43" s="23"/>
      <c r="F43" s="23"/>
      <c r="G43" s="23"/>
      <c r="H43" s="23"/>
      <c r="I43" s="23"/>
      <c r="J43" s="23"/>
      <c r="K43" s="23"/>
      <c r="L43" s="23"/>
      <c r="M43" s="23"/>
      <c r="N43" s="23"/>
      <c r="O43" s="23"/>
      <c r="P43" s="23"/>
      <c r="Q43" s="23"/>
      <c r="R43" s="23"/>
      <c r="S43" s="23"/>
      <c r="T43" s="23"/>
      <c r="U43" s="23"/>
      <c r="V43" s="23"/>
      <c r="W43" s="23" t="s">
        <v>103</v>
      </c>
      <c r="X43" s="23" t="s">
        <v>103</v>
      </c>
      <c r="Y43" s="23" t="s">
        <v>103</v>
      </c>
      <c r="Z43" s="23" t="s">
        <v>103</v>
      </c>
      <c r="AA43" s="23" t="s">
        <v>103</v>
      </c>
      <c r="AB43" s="23" t="s">
        <v>103</v>
      </c>
      <c r="AC43" s="23" t="s">
        <v>103</v>
      </c>
      <c r="AD43" s="23" t="s">
        <v>103</v>
      </c>
      <c r="AE43" s="23" t="s">
        <v>103</v>
      </c>
      <c r="AF43" s="23" t="s">
        <v>103</v>
      </c>
      <c r="AG43" s="23" t="s">
        <v>103</v>
      </c>
      <c r="AH43" s="23" t="s">
        <v>103</v>
      </c>
      <c r="AI43" s="23" t="s">
        <v>103</v>
      </c>
      <c r="AJ43" s="23" t="s">
        <v>103</v>
      </c>
      <c r="AK43" s="23" t="s">
        <v>103</v>
      </c>
      <c r="AL43" s="23" t="s">
        <v>103</v>
      </c>
      <c r="AM43" s="23" t="s">
        <v>103</v>
      </c>
      <c r="AN43" s="23" t="s">
        <v>103</v>
      </c>
      <c r="AO43" s="23" t="s">
        <v>103</v>
      </c>
      <c r="AP43" s="23" t="s">
        <v>103</v>
      </c>
      <c r="AQ43" s="23" t="s">
        <v>103</v>
      </c>
      <c r="AR43" s="23" t="s">
        <v>103</v>
      </c>
      <c r="AS43" s="23" t="s">
        <v>103</v>
      </c>
      <c r="AT43" s="23" t="s">
        <v>103</v>
      </c>
      <c r="AU43" s="23" t="s">
        <v>103</v>
      </c>
      <c r="AV43" s="23" t="s">
        <v>103</v>
      </c>
      <c r="AW43" s="23" t="s">
        <v>103</v>
      </c>
      <c r="AX43" s="23" t="s">
        <v>103</v>
      </c>
      <c r="AY43" s="23" t="s">
        <v>103</v>
      </c>
      <c r="AZ43" s="23" t="s">
        <v>103</v>
      </c>
      <c r="BA43" s="23" t="s">
        <v>103</v>
      </c>
      <c r="BB43" s="23" t="s">
        <v>103</v>
      </c>
      <c r="BC43" s="23" t="s">
        <v>103</v>
      </c>
      <c r="BD43" s="23" t="s">
        <v>103</v>
      </c>
      <c r="BE43">
        <v>1</v>
      </c>
      <c r="BF43">
        <v>2</v>
      </c>
      <c r="BG43">
        <v>3</v>
      </c>
      <c r="BH43">
        <v>4</v>
      </c>
      <c r="BI43">
        <v>5</v>
      </c>
      <c r="BJ43">
        <v>6</v>
      </c>
      <c r="BK43">
        <v>7</v>
      </c>
      <c r="BL43">
        <v>8</v>
      </c>
      <c r="BM43">
        <v>9</v>
      </c>
      <c r="BN43">
        <v>10</v>
      </c>
      <c r="BO43">
        <v>11</v>
      </c>
      <c r="BP43">
        <v>12</v>
      </c>
    </row>
    <row r="44" spans="1:76">
      <c r="A44" s="41"/>
      <c r="B44" s="26" t="s">
        <v>28</v>
      </c>
      <c r="C44" s="27"/>
      <c r="D44" s="27">
        <f>SUM(E44:CD44)</f>
        <v>-99732244.466389611</v>
      </c>
      <c r="E44" s="34"/>
      <c r="F44" s="34"/>
      <c r="G44" s="34"/>
      <c r="H44" s="34"/>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BC44" s="238"/>
      <c r="BE44" s="27">
        <f>PMT($D$18,$D$22,$D$23)</f>
        <v>-8311020.3721991358</v>
      </c>
      <c r="BF44" s="27">
        <f t="shared" ref="BF44:BP44" si="28">PMT($D$18,$D$22,$D$23)</f>
        <v>-8311020.3721991358</v>
      </c>
      <c r="BG44" s="27">
        <f t="shared" si="28"/>
        <v>-8311020.3721991358</v>
      </c>
      <c r="BH44" s="27">
        <f t="shared" si="28"/>
        <v>-8311020.3721991358</v>
      </c>
      <c r="BI44" s="27">
        <f t="shared" si="28"/>
        <v>-8311020.3721991358</v>
      </c>
      <c r="BJ44" s="27">
        <f t="shared" si="28"/>
        <v>-8311020.3721991358</v>
      </c>
      <c r="BK44" s="27">
        <f t="shared" si="28"/>
        <v>-8311020.3721991358</v>
      </c>
      <c r="BL44" s="27">
        <f t="shared" si="28"/>
        <v>-8311020.3721991358</v>
      </c>
      <c r="BM44" s="27">
        <f t="shared" si="28"/>
        <v>-8311020.3721991358</v>
      </c>
      <c r="BN44" s="27">
        <f t="shared" si="28"/>
        <v>-8311020.3721991358</v>
      </c>
      <c r="BO44" s="27">
        <f t="shared" si="28"/>
        <v>-8311020.3721991358</v>
      </c>
      <c r="BP44" s="27">
        <f t="shared" si="28"/>
        <v>-8311020.3721991358</v>
      </c>
      <c r="BQ44" s="27"/>
      <c r="BR44" s="27"/>
      <c r="BS44" s="27"/>
      <c r="BT44" s="27"/>
      <c r="BU44" s="27"/>
      <c r="BV44" s="27"/>
      <c r="BW44" s="27"/>
      <c r="BX44" s="27"/>
    </row>
    <row r="45" spans="1:76">
      <c r="A45" s="41"/>
      <c r="B45" s="27"/>
      <c r="C45" s="27" t="s">
        <v>29</v>
      </c>
      <c r="D45" s="27">
        <f>SUM(E45:CD45)</f>
        <v>-87891876.329999983</v>
      </c>
      <c r="E45" s="34"/>
      <c r="F45" s="34"/>
      <c r="G45" s="34"/>
      <c r="H45" s="34"/>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BC45" s="238"/>
      <c r="BE45" s="27">
        <f>PPMT($D$18,BE43, $D$22,$D$23)</f>
        <v>-6553182.8455991363</v>
      </c>
      <c r="BF45" s="27">
        <f t="shared" ref="BF45:BP45" si="29">PPMT($D$18,BF43, $D$22,$D$23)</f>
        <v>-6684246.5025111204</v>
      </c>
      <c r="BG45" s="27">
        <f t="shared" si="29"/>
        <v>-6817931.4325613417</v>
      </c>
      <c r="BH45" s="27">
        <f t="shared" si="29"/>
        <v>-6954290.0612125685</v>
      </c>
      <c r="BI45" s="27">
        <f t="shared" si="29"/>
        <v>-7093375.8624368189</v>
      </c>
      <c r="BJ45" s="27">
        <f t="shared" si="29"/>
        <v>-7235243.3796855556</v>
      </c>
      <c r="BK45" s="27">
        <f t="shared" si="29"/>
        <v>-7379948.2472792678</v>
      </c>
      <c r="BL45" s="27">
        <f t="shared" si="29"/>
        <v>-7527547.2122248532</v>
      </c>
      <c r="BM45" s="27">
        <f t="shared" si="29"/>
        <v>-7678098.1564693497</v>
      </c>
      <c r="BN45" s="27">
        <f t="shared" si="29"/>
        <v>-7831660.119598737</v>
      </c>
      <c r="BO45" s="27">
        <f t="shared" si="29"/>
        <v>-7988293.3219907116</v>
      </c>
      <c r="BP45" s="27">
        <f t="shared" si="29"/>
        <v>-8148059.1884305254</v>
      </c>
      <c r="BQ45" s="27"/>
      <c r="BR45" s="27"/>
      <c r="BS45" s="27"/>
      <c r="BT45" s="27"/>
      <c r="BU45" s="27"/>
      <c r="BV45" s="27"/>
      <c r="BW45" s="27"/>
      <c r="BX45" s="27"/>
    </row>
    <row r="46" spans="1:76">
      <c r="A46" s="41"/>
      <c r="B46" s="27"/>
      <c r="C46" s="27" t="s">
        <v>30</v>
      </c>
      <c r="D46" s="27">
        <f>SUM(E46:CD46)</f>
        <v>-11840368.136389649</v>
      </c>
      <c r="E46" s="27"/>
      <c r="F46" s="27"/>
      <c r="G46" s="27"/>
      <c r="H46" s="27"/>
      <c r="I46" s="27"/>
      <c r="J46" s="27"/>
      <c r="K46" s="27"/>
      <c r="L46" s="27"/>
      <c r="M46" s="27"/>
      <c r="N46" s="27"/>
      <c r="O46" s="34"/>
      <c r="P46" s="34"/>
      <c r="Q46" s="34"/>
      <c r="R46" s="34"/>
      <c r="S46" s="34"/>
      <c r="T46" s="34"/>
      <c r="U46" s="27"/>
      <c r="V46" s="27"/>
      <c r="W46" s="27"/>
      <c r="X46" s="27"/>
      <c r="Y46" s="27"/>
      <c r="Z46" s="27"/>
      <c r="AA46" s="27"/>
      <c r="AB46" s="27"/>
      <c r="AC46" s="27"/>
      <c r="AD46" s="27"/>
      <c r="AE46" s="27"/>
      <c r="AF46" s="27"/>
      <c r="AG46" s="27"/>
      <c r="AH46" s="27"/>
      <c r="AI46" s="27"/>
      <c r="AJ46" s="27"/>
      <c r="AK46" s="27"/>
      <c r="AL46" s="27"/>
      <c r="BC46" s="238"/>
      <c r="BE46" s="27">
        <f>IPMT($D$18,BE43, $D$22,$D$23)</f>
        <v>-1757837.5266</v>
      </c>
      <c r="BF46" s="27">
        <f t="shared" ref="BF46:BP46" si="30">IPMT($D$18,BF43, $D$22,$D$23)</f>
        <v>-1626773.8696880168</v>
      </c>
      <c r="BG46" s="27">
        <f t="shared" si="30"/>
        <v>-1493088.9396377946</v>
      </c>
      <c r="BH46" s="27">
        <f t="shared" si="30"/>
        <v>-1356730.3109865678</v>
      </c>
      <c r="BI46" s="27">
        <f t="shared" si="30"/>
        <v>-1217644.5097623162</v>
      </c>
      <c r="BJ46" s="27">
        <f t="shared" si="30"/>
        <v>-1075776.99251358</v>
      </c>
      <c r="BK46" s="27">
        <f t="shared" si="30"/>
        <v>-931072.12491986889</v>
      </c>
      <c r="BL46" s="27">
        <f t="shared" si="30"/>
        <v>-783473.15997428342</v>
      </c>
      <c r="BM46" s="27">
        <f t="shared" si="30"/>
        <v>-632922.21572978643</v>
      </c>
      <c r="BN46" s="27">
        <f t="shared" si="30"/>
        <v>-479360.25260039949</v>
      </c>
      <c r="BO46" s="27">
        <f t="shared" si="30"/>
        <v>-322727.05020842474</v>
      </c>
      <c r="BP46" s="27">
        <f t="shared" si="30"/>
        <v>-162961.1837686105</v>
      </c>
      <c r="BQ46" s="27"/>
      <c r="BR46" s="27"/>
      <c r="BS46" s="27"/>
      <c r="BT46" s="27"/>
      <c r="BU46" s="27"/>
      <c r="BV46" s="27"/>
      <c r="BW46" s="27"/>
      <c r="BX46" s="27"/>
    </row>
    <row r="47" spans="1:76">
      <c r="A47" s="41"/>
      <c r="B47" s="33" t="s">
        <v>31</v>
      </c>
      <c r="C47" s="42"/>
      <c r="D47" s="27"/>
      <c r="E47" s="27">
        <f>D23</f>
        <v>87891876.329999998</v>
      </c>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BC47" s="238"/>
      <c r="BE47" s="27">
        <f>D23+BE45</f>
        <v>81338693.484400868</v>
      </c>
      <c r="BF47" s="27">
        <f>BE47+BF45</f>
        <v>74654446.981889755</v>
      </c>
      <c r="BG47" s="27">
        <f t="shared" ref="BG47:BP47" si="31">BF47+BG45</f>
        <v>67836515.549328417</v>
      </c>
      <c r="BH47" s="27">
        <f t="shared" si="31"/>
        <v>60882225.488115847</v>
      </c>
      <c r="BI47" s="27">
        <f t="shared" si="31"/>
        <v>53788849.625679031</v>
      </c>
      <c r="BJ47" s="27">
        <f t="shared" si="31"/>
        <v>46553606.245993473</v>
      </c>
      <c r="BK47" s="27">
        <f t="shared" si="31"/>
        <v>39173657.998714209</v>
      </c>
      <c r="BL47" s="27">
        <f t="shared" si="31"/>
        <v>31646110.786489356</v>
      </c>
      <c r="BM47" s="27">
        <f t="shared" si="31"/>
        <v>23968012.630020007</v>
      </c>
      <c r="BN47" s="27">
        <f t="shared" si="31"/>
        <v>16136352.510421271</v>
      </c>
      <c r="BO47" s="27">
        <f t="shared" si="31"/>
        <v>8148059.1884305589</v>
      </c>
      <c r="BP47" s="27">
        <f t="shared" si="31"/>
        <v>3.3527612686157227E-8</v>
      </c>
      <c r="BQ47" s="27"/>
      <c r="BR47" s="27"/>
      <c r="BS47" s="27"/>
      <c r="BT47" s="27"/>
      <c r="BU47" s="27"/>
      <c r="BV47" s="27"/>
      <c r="BW47" s="27"/>
      <c r="BX47" s="27"/>
    </row>
    <row r="48" spans="1:76" ht="21">
      <c r="A48" s="43"/>
      <c r="B48" s="26" t="s">
        <v>32</v>
      </c>
      <c r="C48" s="27"/>
      <c r="D48" s="27">
        <f>SUM(E48:CD48)</f>
        <v>-11130838.258980202</v>
      </c>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BC48" s="238"/>
      <c r="BE48" s="27">
        <f>BE44*BE29</f>
        <v>-1108261.3035053834</v>
      </c>
      <c r="BF48" s="27">
        <f t="shared" ref="BF48:BP48" si="32">BF44*BF29</f>
        <v>-1071663.9786349984</v>
      </c>
      <c r="BG48" s="27">
        <f t="shared" si="32"/>
        <v>-1036275.1811971168</v>
      </c>
      <c r="BH48" s="27">
        <f t="shared" si="32"/>
        <v>-1002055.0028497967</v>
      </c>
      <c r="BI48" s="27">
        <f t="shared" si="32"/>
        <v>-968964.85311588901</v>
      </c>
      <c r="BJ48" s="27">
        <f t="shared" si="32"/>
        <v>-936967.41586412897</v>
      </c>
      <c r="BK48" s="27">
        <f t="shared" si="32"/>
        <v>-906026.60722731624</v>
      </c>
      <c r="BL48" s="27">
        <f t="shared" si="32"/>
        <v>-876107.5349101352</v>
      </c>
      <c r="BM48" s="27">
        <f t="shared" si="32"/>
        <v>-847176.45884072466</v>
      </c>
      <c r="BN48" s="27">
        <f t="shared" si="32"/>
        <v>-819200.75312162132</v>
      </c>
      <c r="BO48" s="27">
        <f t="shared" si="32"/>
        <v>-792148.86923717195</v>
      </c>
      <c r="BP48" s="27">
        <f t="shared" si="32"/>
        <v>-765990.30047591939</v>
      </c>
      <c r="BQ48" s="27"/>
      <c r="BR48" s="27"/>
      <c r="BS48" s="27"/>
      <c r="BT48" s="27"/>
      <c r="BU48" s="27"/>
      <c r="BV48" s="27"/>
      <c r="BW48" s="27"/>
      <c r="BX48" s="27"/>
    </row>
    <row r="49" spans="1:76">
      <c r="A49" s="27"/>
      <c r="B49" s="27"/>
      <c r="C49" s="27" t="s">
        <v>29</v>
      </c>
      <c r="D49" s="27">
        <f>SUM(E49:CD49)</f>
        <v>-9732040.4739258736</v>
      </c>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BC49" s="238"/>
      <c r="BE49" s="27">
        <f>BE45*BE29</f>
        <v>-873856.47457522573</v>
      </c>
      <c r="BF49" s="27">
        <f t="shared" ref="BF49:BP49" si="33">BF45*BF29</f>
        <v>-861899.72834379005</v>
      </c>
      <c r="BG49" s="27">
        <f t="shared" si="33"/>
        <v>-850106.58309787337</v>
      </c>
      <c r="BH49" s="27">
        <f t="shared" si="33"/>
        <v>-838474.80032860907</v>
      </c>
      <c r="BI49" s="27">
        <f t="shared" si="33"/>
        <v>-827002.17215605197</v>
      </c>
      <c r="BJ49" s="27">
        <f t="shared" si="33"/>
        <v>-815686.52091009333</v>
      </c>
      <c r="BK49" s="27">
        <f t="shared" si="33"/>
        <v>-804525.69871710625</v>
      </c>
      <c r="BL49" s="27">
        <f t="shared" si="33"/>
        <v>-793517.58709224814</v>
      </c>
      <c r="BM49" s="27">
        <f t="shared" si="33"/>
        <v>-782660.09653734299</v>
      </c>
      <c r="BN49" s="27">
        <f t="shared" si="33"/>
        <v>-771951.16614426335</v>
      </c>
      <c r="BO49" s="27">
        <f t="shared" si="33"/>
        <v>-761388.76320374082</v>
      </c>
      <c r="BP49" s="27">
        <f t="shared" si="33"/>
        <v>-750970.88281952881</v>
      </c>
      <c r="BQ49" s="27"/>
      <c r="BR49" s="27"/>
      <c r="BS49" s="27"/>
      <c r="BT49" s="27"/>
      <c r="BU49" s="27"/>
      <c r="BV49" s="27"/>
      <c r="BW49" s="27"/>
      <c r="BX49" s="27"/>
    </row>
    <row r="50" spans="1:76">
      <c r="A50" s="27"/>
      <c r="B50" s="27"/>
      <c r="C50" s="27" t="s">
        <v>30</v>
      </c>
      <c r="D50" s="27">
        <f>SUM(E50:CD50)</f>
        <v>-1398797.7850543286</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BC50" s="238"/>
      <c r="BE50" s="27">
        <f>BE46*BE29</f>
        <v>-234404.82893015785</v>
      </c>
      <c r="BF50" s="27">
        <f t="shared" ref="BF50:BP50" si="34">BF46*BF29</f>
        <v>-209764.2502912085</v>
      </c>
      <c r="BG50" s="27">
        <f t="shared" si="34"/>
        <v>-186168.59809924359</v>
      </c>
      <c r="BH50" s="27">
        <f t="shared" si="34"/>
        <v>-163580.2025211876</v>
      </c>
      <c r="BI50" s="27">
        <f t="shared" si="34"/>
        <v>-141962.68095983696</v>
      </c>
      <c r="BJ50" s="27">
        <f t="shared" si="34"/>
        <v>-121280.89495403563</v>
      </c>
      <c r="BK50" s="27">
        <f t="shared" si="34"/>
        <v>-101500.90851021011</v>
      </c>
      <c r="BL50" s="27">
        <f t="shared" si="34"/>
        <v>-82589.947817887121</v>
      </c>
      <c r="BM50" s="27">
        <f t="shared" si="34"/>
        <v>-64516.362303381698</v>
      </c>
      <c r="BN50" s="27">
        <f t="shared" si="34"/>
        <v>-47249.586977358071</v>
      </c>
      <c r="BO50" s="27">
        <f t="shared" si="34"/>
        <v>-30760.10603343113</v>
      </c>
      <c r="BP50" s="27">
        <f t="shared" si="34"/>
        <v>-15019.417656390577</v>
      </c>
      <c r="BQ50" s="27"/>
      <c r="BR50" s="27"/>
      <c r="BS50" s="27"/>
      <c r="BT50" s="27"/>
      <c r="BU50" s="27"/>
      <c r="BV50" s="27"/>
      <c r="BW50" s="27"/>
      <c r="BX50" s="27"/>
    </row>
    <row r="51" spans="1:76">
      <c r="A51" s="24"/>
      <c r="C51" s="47"/>
      <c r="D51" s="47"/>
      <c r="E51" s="47"/>
      <c r="F51" s="47"/>
      <c r="G51" s="45"/>
    </row>
    <row r="52" spans="1:76">
      <c r="A52" s="24"/>
      <c r="C52" s="47"/>
      <c r="D52" s="47"/>
      <c r="E52" s="47"/>
      <c r="F52" s="47"/>
      <c r="G52" s="45"/>
      <c r="J52" s="48"/>
    </row>
    <row r="53" spans="1:76">
      <c r="A53" s="24"/>
      <c r="C53" s="47"/>
      <c r="D53" s="47"/>
      <c r="E53" s="47"/>
      <c r="F53" s="47"/>
      <c r="G53" s="45"/>
    </row>
    <row r="54" spans="1:76">
      <c r="A54" s="24"/>
      <c r="C54" s="47"/>
      <c r="D54" s="47"/>
      <c r="E54" s="47"/>
      <c r="F54" s="47"/>
      <c r="G54" s="45"/>
      <c r="J54" s="45"/>
    </row>
    <row r="55" spans="1:76">
      <c r="A55" s="24"/>
      <c r="C55" s="47"/>
      <c r="D55" s="47"/>
      <c r="E55" s="47"/>
      <c r="F55" s="47"/>
      <c r="G55" s="45"/>
    </row>
    <row r="56" spans="1:76">
      <c r="A56" s="24"/>
      <c r="C56" s="47"/>
      <c r="D56" s="47"/>
      <c r="E56" s="47"/>
      <c r="F56" s="47"/>
      <c r="G56" s="45"/>
    </row>
    <row r="57" spans="1:76">
      <c r="A57" s="24"/>
      <c r="C57" s="47"/>
      <c r="D57" s="47"/>
      <c r="E57" s="47"/>
      <c r="F57" s="47"/>
      <c r="G57" s="45"/>
    </row>
    <row r="58" spans="1:76">
      <c r="A58" s="24"/>
      <c r="C58" s="47"/>
      <c r="D58" s="47"/>
      <c r="E58" s="47"/>
      <c r="F58" s="47"/>
      <c r="G58" s="45"/>
    </row>
    <row r="59" spans="1:76">
      <c r="A59" s="24"/>
      <c r="C59" s="47"/>
      <c r="D59" s="47"/>
      <c r="E59" s="47"/>
      <c r="F59" s="47"/>
      <c r="G59" s="45"/>
    </row>
    <row r="60" spans="1:76">
      <c r="A60" s="24"/>
      <c r="C60" s="47"/>
      <c r="D60" s="47"/>
      <c r="E60" s="47"/>
      <c r="F60" s="47"/>
      <c r="G60" s="45"/>
    </row>
    <row r="61" spans="1:76">
      <c r="A61" s="24"/>
      <c r="C61" s="47"/>
      <c r="D61" s="47"/>
      <c r="E61" s="47"/>
      <c r="F61" s="47"/>
      <c r="G61" s="45"/>
    </row>
    <row r="62" spans="1:76">
      <c r="A62" s="24"/>
      <c r="C62" s="47"/>
      <c r="D62" s="47"/>
      <c r="E62" s="47"/>
      <c r="F62" s="47"/>
      <c r="G62" s="45"/>
    </row>
    <row r="63" spans="1:76">
      <c r="A63" s="24"/>
      <c r="C63" s="47"/>
      <c r="D63" s="47"/>
      <c r="E63" s="47"/>
      <c r="F63" s="47"/>
      <c r="G63" s="45"/>
    </row>
    <row r="64" spans="1:76">
      <c r="A64" s="24"/>
      <c r="C64" s="47"/>
      <c r="D64" s="47"/>
      <c r="E64" s="47"/>
      <c r="F64" s="47"/>
      <c r="G64" s="45"/>
    </row>
    <row r="65" spans="1:7">
      <c r="A65" s="24"/>
      <c r="C65" s="47"/>
      <c r="D65" s="47"/>
      <c r="E65" s="47"/>
      <c r="F65" s="47"/>
      <c r="G65" s="45"/>
    </row>
    <row r="66" spans="1:7">
      <c r="A66" s="24"/>
      <c r="C66" s="47"/>
      <c r="D66" s="47"/>
      <c r="E66" s="47"/>
      <c r="F66" s="47"/>
      <c r="G66" s="45"/>
    </row>
    <row r="67" spans="1:7">
      <c r="A67" s="24"/>
      <c r="C67" s="47"/>
      <c r="D67" s="47"/>
      <c r="E67" s="47"/>
      <c r="F67" s="47"/>
      <c r="G67" s="45"/>
    </row>
    <row r="68" spans="1:7">
      <c r="A68" s="24"/>
      <c r="C68" s="47"/>
      <c r="D68" s="47"/>
      <c r="E68" s="47"/>
      <c r="F68" s="47"/>
      <c r="G68" s="45"/>
    </row>
    <row r="69" spans="1:7">
      <c r="A69" s="24"/>
      <c r="C69" s="47"/>
      <c r="D69" s="47"/>
      <c r="E69" s="47"/>
      <c r="F69" s="47"/>
      <c r="G69" s="45"/>
    </row>
    <row r="70" spans="1:7">
      <c r="A70" s="24"/>
      <c r="C70" s="47"/>
      <c r="D70" s="47"/>
      <c r="E70" s="47"/>
      <c r="F70" s="47"/>
      <c r="G70" s="45"/>
    </row>
    <row r="71" spans="1:7">
      <c r="A71" s="24"/>
      <c r="C71" s="47"/>
      <c r="D71" s="47"/>
      <c r="E71" s="47"/>
      <c r="F71" s="47"/>
      <c r="G71" s="45"/>
    </row>
    <row r="72" spans="1:7">
      <c r="A72" s="24"/>
      <c r="C72" s="47"/>
      <c r="D72" s="47"/>
      <c r="E72" s="47"/>
      <c r="F72" s="47"/>
      <c r="G72" s="45"/>
    </row>
  </sheetData>
  <mergeCells count="5">
    <mergeCell ref="A6:D6"/>
    <mergeCell ref="F6:G6"/>
    <mergeCell ref="F11:G11"/>
    <mergeCell ref="A16:D16"/>
    <mergeCell ref="F17:G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1F86-678C-FF48-9AA4-732A74E45E82}">
  <sheetPr>
    <tabColor rgb="FF0070C0"/>
  </sheetPr>
  <dimension ref="A1:BX72"/>
  <sheetViews>
    <sheetView topLeftCell="A4" zoomScale="80" zoomScaleNormal="80" workbookViewId="0">
      <pane xSplit="4" ySplit="26" topLeftCell="E30" activePane="bottomRight" state="frozen"/>
      <selection activeCell="G19" sqref="G19"/>
      <selection pane="topRight" activeCell="G19" sqref="G19"/>
      <selection pane="bottomLeft" activeCell="G19" sqref="G19"/>
      <selection pane="bottomRight" activeCell="C22" sqref="C22"/>
    </sheetView>
  </sheetViews>
  <sheetFormatPr defaultColWidth="20.5" defaultRowHeight="15.6"/>
  <cols>
    <col min="1" max="1" width="9.5" customWidth="1"/>
    <col min="2" max="2" width="9.19921875" customWidth="1"/>
    <col min="3" max="3" width="20.296875" customWidth="1"/>
    <col min="4" max="4" width="2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101</v>
      </c>
    </row>
    <row r="5" spans="1:7" ht="21">
      <c r="A5" s="1"/>
    </row>
    <row r="6" spans="1:7" ht="21">
      <c r="A6" s="347" t="s">
        <v>1</v>
      </c>
      <c r="B6" s="348"/>
      <c r="C6" s="348"/>
      <c r="D6" s="349"/>
      <c r="F6" s="321" t="s">
        <v>2</v>
      </c>
      <c r="G6" s="322"/>
    </row>
    <row r="7" spans="1:7">
      <c r="A7" s="4" t="s">
        <v>3</v>
      </c>
      <c r="D7" s="115">
        <f>Data!D24</f>
        <v>2005</v>
      </c>
      <c r="F7" s="6" t="s">
        <v>4</v>
      </c>
      <c r="G7" s="7">
        <f>D13</f>
        <v>8305000</v>
      </c>
    </row>
    <row r="8" spans="1:7">
      <c r="A8" s="4" t="s">
        <v>5</v>
      </c>
      <c r="D8" s="8">
        <f>Data!F24</f>
        <v>0.04</v>
      </c>
      <c r="F8" s="6" t="s">
        <v>6</v>
      </c>
      <c r="G8" s="9">
        <f>D33*-1</f>
        <v>10618989.5298924</v>
      </c>
    </row>
    <row r="9" spans="1:7">
      <c r="A9" s="4" t="s">
        <v>7</v>
      </c>
      <c r="D9" s="10">
        <f>Data!G24</f>
        <v>4</v>
      </c>
      <c r="F9" s="11" t="s">
        <v>8</v>
      </c>
      <c r="G9" s="12">
        <f>D37*-1</f>
        <v>7486367.2329242919</v>
      </c>
    </row>
    <row r="10" spans="1:7">
      <c r="A10" s="4" t="s">
        <v>9</v>
      </c>
      <c r="D10" s="10">
        <f>Data!E24</f>
        <v>10</v>
      </c>
    </row>
    <row r="11" spans="1:7">
      <c r="A11" s="4" t="s">
        <v>10</v>
      </c>
      <c r="D11" s="10">
        <v>2</v>
      </c>
      <c r="F11" s="321" t="s">
        <v>11</v>
      </c>
      <c r="G11" s="322"/>
    </row>
    <row r="12" spans="1:7">
      <c r="A12" s="4" t="s">
        <v>12</v>
      </c>
      <c r="D12" s="10">
        <f>(D10-D9)*2</f>
        <v>12</v>
      </c>
      <c r="F12" s="6" t="s">
        <v>4</v>
      </c>
      <c r="G12" s="7">
        <f>D13</f>
        <v>8305000</v>
      </c>
    </row>
    <row r="13" spans="1:7">
      <c r="A13" s="4" t="s">
        <v>13</v>
      </c>
      <c r="D13" s="49">
        <f>Data!B24</f>
        <v>8305000</v>
      </c>
      <c r="F13" s="6" t="s">
        <v>31</v>
      </c>
      <c r="G13" s="9">
        <f>D23</f>
        <v>8213615</v>
      </c>
    </row>
    <row r="14" spans="1:7">
      <c r="A14" s="13" t="s">
        <v>15</v>
      </c>
      <c r="B14" s="14"/>
      <c r="C14" s="14"/>
      <c r="D14" s="195">
        <v>4.9299999999999997E-2</v>
      </c>
      <c r="F14" s="6" t="s">
        <v>6</v>
      </c>
      <c r="G14" s="9">
        <f>(D44)*-1</f>
        <v>8969911.4704964813</v>
      </c>
    </row>
    <row r="15" spans="1:7">
      <c r="E15" s="16"/>
      <c r="F15" s="11" t="s">
        <v>8</v>
      </c>
      <c r="G15" s="12">
        <f>(D48)*-1</f>
        <v>3518078.1824360481</v>
      </c>
    </row>
    <row r="16" spans="1:7" ht="20.399999999999999">
      <c r="A16" s="354" t="s">
        <v>16</v>
      </c>
      <c r="B16" s="355"/>
      <c r="C16" s="355"/>
      <c r="D16" s="356"/>
      <c r="E16" s="16"/>
      <c r="F16" s="16"/>
    </row>
    <row r="17" spans="1:75">
      <c r="A17" s="4" t="s">
        <v>17</v>
      </c>
      <c r="D17" s="17">
        <f>Data!H24</f>
        <v>2011</v>
      </c>
      <c r="E17" s="16"/>
      <c r="F17" s="323" t="s">
        <v>109</v>
      </c>
      <c r="G17" s="324"/>
      <c r="H17" s="120"/>
    </row>
    <row r="18" spans="1:75">
      <c r="A18" s="4" t="s">
        <v>5</v>
      </c>
      <c r="D18" s="18">
        <f>Data!N24</f>
        <v>0.02</v>
      </c>
      <c r="E18" s="16"/>
      <c r="F18" s="121" t="s">
        <v>44</v>
      </c>
      <c r="G18" s="118" t="s">
        <v>45</v>
      </c>
      <c r="H18" s="58"/>
    </row>
    <row r="19" spans="1:75">
      <c r="A19" s="4" t="s">
        <v>7</v>
      </c>
      <c r="D19" s="194">
        <f>Data!O24</f>
        <v>17</v>
      </c>
      <c r="E19" s="16"/>
      <c r="F19" s="119">
        <f>(1-((D8/D11)/D24))*(1-(((1/((1+D24)^(D11*D9)))-(1/((1+D24)^(D11*D10))))/(D24*(D11*D10-D11*D9))))</f>
        <v>5.6170107298837001E-2</v>
      </c>
      <c r="G19" s="122">
        <f>(1-((D18/D21)/D24))*(1-(((1/((1+D24)^(D21*D19)))-(1/((1+D24)^(D21*D20))))/(D24*(D21*D20-D21*D19))))+((D13-D23)/D13)</f>
        <v>0.37307007973094636</v>
      </c>
    </row>
    <row r="20" spans="1:75">
      <c r="A20" s="4" t="s">
        <v>9</v>
      </c>
      <c r="D20" s="194">
        <f>Data!M24</f>
        <v>21</v>
      </c>
      <c r="E20" s="16"/>
      <c r="F20" s="16"/>
    </row>
    <row r="21" spans="1:75">
      <c r="A21" s="4" t="s">
        <v>10</v>
      </c>
      <c r="D21" s="10">
        <v>2</v>
      </c>
      <c r="E21" s="16"/>
      <c r="F21" s="16"/>
      <c r="G21" s="27"/>
    </row>
    <row r="22" spans="1:75">
      <c r="A22" s="4" t="s">
        <v>12</v>
      </c>
      <c r="D22" s="10">
        <f>(D20-D19)*2</f>
        <v>8</v>
      </c>
      <c r="E22" s="16"/>
      <c r="F22" s="16"/>
    </row>
    <row r="23" spans="1:75">
      <c r="A23" s="4" t="s">
        <v>258</v>
      </c>
      <c r="D23" s="50">
        <f>Data!L24</f>
        <v>8213615</v>
      </c>
      <c r="E23" s="16"/>
      <c r="F23" s="16"/>
    </row>
    <row r="24" spans="1:75">
      <c r="A24" s="196" t="s">
        <v>187</v>
      </c>
      <c r="B24" s="14"/>
      <c r="C24" s="14"/>
      <c r="D24" s="195">
        <f>(1.05^0.5)-1</f>
        <v>2.4695076595959931E-2</v>
      </c>
      <c r="E24" s="16"/>
      <c r="F24" s="16"/>
    </row>
    <row r="25" spans="1:75" s="19" customFormat="1" ht="31.2">
      <c r="A25" s="302" t="s">
        <v>43</v>
      </c>
      <c r="E25" s="53" t="s">
        <v>25</v>
      </c>
      <c r="F25" s="20"/>
      <c r="I25" s="21" t="s">
        <v>89</v>
      </c>
      <c r="M25" s="51"/>
      <c r="N25" s="51"/>
      <c r="O25" s="51"/>
      <c r="P25" s="51"/>
      <c r="Q25" s="21" t="s">
        <v>21</v>
      </c>
      <c r="T25" s="51"/>
      <c r="W25" s="51"/>
      <c r="AD25" s="51"/>
      <c r="AE25" s="51"/>
      <c r="AF25" s="21" t="s">
        <v>40</v>
      </c>
      <c r="AL25" s="51"/>
      <c r="AM25" s="21" t="s">
        <v>22</v>
      </c>
      <c r="AX25" s="51"/>
      <c r="BF25" s="51"/>
      <c r="BH25" s="51"/>
    </row>
    <row r="26" spans="1:75" s="22" customFormat="1">
      <c r="A26"/>
      <c r="B26"/>
      <c r="C26"/>
      <c r="D26"/>
      <c r="E26" s="16"/>
      <c r="F26" s="1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75">
      <c r="A27" s="2" t="s">
        <v>23</v>
      </c>
      <c r="D27" s="2"/>
      <c r="E27" s="23" t="s">
        <v>105</v>
      </c>
      <c r="F27" s="24">
        <v>40178</v>
      </c>
      <c r="G27" s="24">
        <v>40359</v>
      </c>
      <c r="H27" s="24">
        <v>40543</v>
      </c>
      <c r="I27" s="24">
        <v>40724</v>
      </c>
      <c r="J27" s="24">
        <v>40908</v>
      </c>
      <c r="K27" s="24">
        <v>41090</v>
      </c>
      <c r="L27" s="24">
        <v>41274</v>
      </c>
      <c r="M27" s="24">
        <v>41455</v>
      </c>
      <c r="N27" s="24">
        <v>41639</v>
      </c>
      <c r="O27" s="24">
        <v>41820</v>
      </c>
      <c r="P27" s="24">
        <v>42004</v>
      </c>
      <c r="Q27" s="24">
        <v>42185</v>
      </c>
      <c r="R27" s="24">
        <v>42369</v>
      </c>
      <c r="S27" s="24">
        <v>42551</v>
      </c>
      <c r="T27" s="24">
        <v>42735</v>
      </c>
      <c r="U27" s="24">
        <v>42916</v>
      </c>
      <c r="V27" s="24">
        <v>43100</v>
      </c>
      <c r="W27" s="24">
        <v>43281</v>
      </c>
      <c r="X27" s="24">
        <v>43465</v>
      </c>
      <c r="Y27" s="24">
        <v>43646</v>
      </c>
      <c r="Z27" s="24">
        <v>43830</v>
      </c>
      <c r="AA27" s="24">
        <v>44012</v>
      </c>
      <c r="AB27" s="24">
        <v>44196</v>
      </c>
      <c r="AC27" s="24">
        <v>44377</v>
      </c>
      <c r="AD27" s="24">
        <v>44561</v>
      </c>
      <c r="AE27" s="24">
        <v>44742</v>
      </c>
      <c r="AF27" s="24">
        <v>44926</v>
      </c>
      <c r="AG27" s="24">
        <v>45107</v>
      </c>
      <c r="AH27" s="24">
        <v>45291</v>
      </c>
      <c r="AI27" s="24">
        <v>45473</v>
      </c>
      <c r="AJ27" s="24">
        <v>45657</v>
      </c>
      <c r="AK27" s="24">
        <v>45838</v>
      </c>
      <c r="AL27" s="24">
        <v>46022</v>
      </c>
      <c r="AM27" s="24">
        <v>46203</v>
      </c>
      <c r="AN27" s="24"/>
      <c r="AO27" s="24"/>
      <c r="AP27" s="24"/>
      <c r="AQ27" s="24"/>
      <c r="AR27" s="24"/>
      <c r="AS27" s="24"/>
      <c r="AT27" s="24"/>
      <c r="AU27" s="24"/>
      <c r="AV27" s="24"/>
      <c r="AW27" s="24"/>
      <c r="AX27" s="24"/>
      <c r="AY27" s="24"/>
      <c r="AZ27" s="24"/>
      <c r="BA27" s="24"/>
      <c r="BB27" s="24"/>
      <c r="BC27" s="24"/>
      <c r="BD27" s="24"/>
      <c r="BE27" s="24"/>
      <c r="BF27" s="24"/>
      <c r="BG27" s="24"/>
      <c r="BH27" s="24"/>
      <c r="BI27" s="23"/>
      <c r="BJ27" s="24"/>
      <c r="BK27" s="23"/>
      <c r="BL27" s="24"/>
      <c r="BM27" s="23"/>
      <c r="BN27" s="24"/>
      <c r="BO27" s="23"/>
      <c r="BP27" s="24"/>
      <c r="BQ27" s="23"/>
      <c r="BR27" s="24"/>
      <c r="BS27" s="23"/>
      <c r="BT27" s="24"/>
      <c r="BU27" s="23"/>
      <c r="BV27" s="24"/>
      <c r="BW27" s="23"/>
    </row>
    <row r="28" spans="1:75">
      <c r="A28" s="2" t="s">
        <v>38</v>
      </c>
      <c r="D28" s="2"/>
      <c r="E28" s="23"/>
      <c r="F28" s="52">
        <f>D9*2+1</f>
        <v>9</v>
      </c>
      <c r="G28" s="52">
        <f>F28+1</f>
        <v>10</v>
      </c>
      <c r="H28" s="52">
        <f t="shared" ref="H28:AM28" si="0">G28+1</f>
        <v>11</v>
      </c>
      <c r="I28" s="52">
        <f t="shared" si="0"/>
        <v>12</v>
      </c>
      <c r="J28" s="52">
        <f t="shared" si="0"/>
        <v>13</v>
      </c>
      <c r="K28" s="52">
        <f t="shared" si="0"/>
        <v>14</v>
      </c>
      <c r="L28" s="52">
        <f t="shared" si="0"/>
        <v>15</v>
      </c>
      <c r="M28" s="52">
        <f t="shared" si="0"/>
        <v>16</v>
      </c>
      <c r="N28" s="52">
        <f t="shared" si="0"/>
        <v>17</v>
      </c>
      <c r="O28" s="52">
        <f t="shared" si="0"/>
        <v>18</v>
      </c>
      <c r="P28" s="52">
        <f t="shared" si="0"/>
        <v>19</v>
      </c>
      <c r="Q28" s="52">
        <f t="shared" si="0"/>
        <v>20</v>
      </c>
      <c r="R28" s="52">
        <f t="shared" si="0"/>
        <v>21</v>
      </c>
      <c r="S28" s="52">
        <f t="shared" si="0"/>
        <v>22</v>
      </c>
      <c r="T28" s="52">
        <f t="shared" si="0"/>
        <v>23</v>
      </c>
      <c r="U28" s="52">
        <f t="shared" si="0"/>
        <v>24</v>
      </c>
      <c r="V28" s="52">
        <f t="shared" si="0"/>
        <v>25</v>
      </c>
      <c r="W28" s="52">
        <f t="shared" si="0"/>
        <v>26</v>
      </c>
      <c r="X28" s="52">
        <f t="shared" si="0"/>
        <v>27</v>
      </c>
      <c r="Y28" s="52">
        <f t="shared" si="0"/>
        <v>28</v>
      </c>
      <c r="Z28" s="52">
        <f t="shared" si="0"/>
        <v>29</v>
      </c>
      <c r="AA28" s="52">
        <f t="shared" si="0"/>
        <v>30</v>
      </c>
      <c r="AB28" s="52">
        <f t="shared" si="0"/>
        <v>31</v>
      </c>
      <c r="AC28" s="52">
        <f t="shared" si="0"/>
        <v>32</v>
      </c>
      <c r="AD28" s="52">
        <f t="shared" si="0"/>
        <v>33</v>
      </c>
      <c r="AE28" s="52">
        <f t="shared" si="0"/>
        <v>34</v>
      </c>
      <c r="AF28" s="52">
        <f t="shared" si="0"/>
        <v>35</v>
      </c>
      <c r="AG28" s="52">
        <f t="shared" si="0"/>
        <v>36</v>
      </c>
      <c r="AH28" s="52">
        <f t="shared" si="0"/>
        <v>37</v>
      </c>
      <c r="AI28" s="52">
        <f t="shared" si="0"/>
        <v>38</v>
      </c>
      <c r="AJ28" s="52">
        <f t="shared" si="0"/>
        <v>39</v>
      </c>
      <c r="AK28" s="52">
        <f t="shared" si="0"/>
        <v>40</v>
      </c>
      <c r="AL28" s="52">
        <f t="shared" si="0"/>
        <v>41</v>
      </c>
      <c r="AM28" s="52">
        <f t="shared" si="0"/>
        <v>42</v>
      </c>
      <c r="AN28" s="52"/>
      <c r="AO28" s="52"/>
      <c r="AP28" s="52"/>
      <c r="AQ28" s="52"/>
      <c r="AR28" s="52"/>
      <c r="AS28" s="52"/>
      <c r="AT28" s="52"/>
      <c r="AU28" s="52"/>
      <c r="AV28" s="52"/>
      <c r="AW28" s="52"/>
      <c r="AX28" s="52"/>
      <c r="AY28" s="52"/>
      <c r="AZ28" s="52"/>
      <c r="BA28" s="52"/>
      <c r="BB28" s="52"/>
      <c r="BC28" s="52"/>
      <c r="BD28" s="52"/>
      <c r="BE28" s="52"/>
      <c r="BF28" s="52"/>
      <c r="BG28" s="52"/>
      <c r="BH28" s="52"/>
      <c r="BI28" s="52"/>
      <c r="BJ28" s="24"/>
      <c r="BK28" s="23"/>
      <c r="BL28" s="24"/>
      <c r="BM28" s="23"/>
      <c r="BN28" s="24"/>
      <c r="BO28" s="23"/>
      <c r="BP28" s="24"/>
      <c r="BQ28" s="23"/>
      <c r="BR28" s="24"/>
      <c r="BS28" s="23"/>
      <c r="BT28" s="24"/>
      <c r="BU28" s="23"/>
      <c r="BV28" s="24"/>
      <c r="BW28" s="23"/>
    </row>
    <row r="29" spans="1:75">
      <c r="A29" s="2" t="s">
        <v>26</v>
      </c>
      <c r="E29" s="25"/>
      <c r="F29" s="25">
        <f>1/(1+($D14/$D11))^(F28)</f>
        <v>0.80319334332300341</v>
      </c>
      <c r="G29" s="25">
        <f t="shared" ref="G29:AM29" si="1">1/(1+($D14/$D11))^(G28)</f>
        <v>0.78387092502123001</v>
      </c>
      <c r="H29" s="25">
        <f t="shared" si="1"/>
        <v>0.76501334604131166</v>
      </c>
      <c r="I29" s="25">
        <f t="shared" si="1"/>
        <v>0.74660942374597328</v>
      </c>
      <c r="J29" s="25">
        <f t="shared" si="1"/>
        <v>0.72864824451859</v>
      </c>
      <c r="K29" s="25">
        <f t="shared" si="1"/>
        <v>0.711119157291358</v>
      </c>
      <c r="L29" s="25">
        <f t="shared" si="1"/>
        <v>0.69401176722915914</v>
      </c>
      <c r="M29" s="25">
        <f t="shared" si="1"/>
        <v>0.67731592956537268</v>
      </c>
      <c r="N29" s="25">
        <f t="shared" si="1"/>
        <v>0.66102174358597821</v>
      </c>
      <c r="O29" s="25">
        <f t="shared" si="1"/>
        <v>0.64511954675838401</v>
      </c>
      <c r="P29" s="25">
        <f t="shared" si="1"/>
        <v>0.62959990900149709</v>
      </c>
      <c r="Q29" s="25">
        <f t="shared" si="1"/>
        <v>0.61445362709363882</v>
      </c>
      <c r="R29" s="25">
        <f t="shared" si="1"/>
        <v>0.59967171921498919</v>
      </c>
      <c r="S29" s="25">
        <f t="shared" si="1"/>
        <v>0.5852454196213237</v>
      </c>
      <c r="T29" s="25">
        <f t="shared" si="1"/>
        <v>0.57116617344588261</v>
      </c>
      <c r="U29" s="25">
        <f t="shared" si="1"/>
        <v>0.55742563162629433</v>
      </c>
      <c r="V29" s="25">
        <f t="shared" si="1"/>
        <v>0.54401564595353957</v>
      </c>
      <c r="W29" s="25">
        <f t="shared" si="1"/>
        <v>0.53092826424002293</v>
      </c>
      <c r="X29" s="25">
        <f t="shared" si="1"/>
        <v>0.51815572560388712</v>
      </c>
      <c r="Y29" s="25">
        <f t="shared" si="1"/>
        <v>0.50569045586677108</v>
      </c>
      <c r="Z29" s="25">
        <f t="shared" si="1"/>
        <v>0.49352506306228572</v>
      </c>
      <c r="AA29" s="25">
        <f t="shared" si="1"/>
        <v>0.48165233305254057</v>
      </c>
      <c r="AB29" s="25">
        <f t="shared" si="1"/>
        <v>0.47006522525012501</v>
      </c>
      <c r="AC29" s="25">
        <f t="shared" si="1"/>
        <v>0.45875686844300484</v>
      </c>
      <c r="AD29" s="25">
        <f t="shared" si="1"/>
        <v>0.44772055671986027</v>
      </c>
      <c r="AE29" s="25">
        <f t="shared" si="1"/>
        <v>0.43694974549344673</v>
      </c>
      <c r="AF29" s="25">
        <f t="shared" si="1"/>
        <v>0.42643804761962295</v>
      </c>
      <c r="AG29" s="25">
        <f t="shared" si="1"/>
        <v>0.4161792296097428</v>
      </c>
      <c r="AH29" s="25">
        <f t="shared" si="1"/>
        <v>0.40616720793416555</v>
      </c>
      <c r="AI29" s="25">
        <f t="shared" si="1"/>
        <v>0.39639604541469342</v>
      </c>
      <c r="AJ29" s="25">
        <f t="shared" si="1"/>
        <v>0.38685994770379484</v>
      </c>
      <c r="AK29" s="25">
        <f t="shared" si="1"/>
        <v>0.3775532598485285</v>
      </c>
      <c r="AL29" s="25">
        <f t="shared" si="1"/>
        <v>0.36847046293712826</v>
      </c>
      <c r="AM29" s="25">
        <f t="shared" si="1"/>
        <v>0.3596061708262609</v>
      </c>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row>
    <row r="30" spans="1:75">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 t="s">
        <v>37</v>
      </c>
      <c r="D32" s="2"/>
      <c r="E32" s="23"/>
      <c r="F32">
        <v>1</v>
      </c>
      <c r="G32">
        <v>2</v>
      </c>
      <c r="H32">
        <v>3</v>
      </c>
      <c r="I32">
        <v>4</v>
      </c>
      <c r="J32">
        <v>5</v>
      </c>
      <c r="K32">
        <v>6</v>
      </c>
      <c r="L32">
        <v>7</v>
      </c>
      <c r="M32">
        <v>8</v>
      </c>
      <c r="N32">
        <v>9</v>
      </c>
      <c r="O32">
        <v>10</v>
      </c>
      <c r="P32">
        <v>11</v>
      </c>
      <c r="Q32">
        <v>12</v>
      </c>
      <c r="BI32" s="23"/>
      <c r="BJ32" s="24"/>
      <c r="BK32" s="23"/>
      <c r="BL32" s="24"/>
      <c r="BM32" s="23"/>
      <c r="BN32" s="24"/>
      <c r="BO32" s="23"/>
      <c r="BP32" s="24"/>
      <c r="BQ32" s="23"/>
      <c r="BR32" s="24"/>
      <c r="BS32" s="23"/>
      <c r="BT32" s="24"/>
      <c r="BU32" s="23"/>
      <c r="BV32" s="24"/>
      <c r="BW32" s="23"/>
    </row>
    <row r="33" spans="1:76">
      <c r="A33" s="27"/>
      <c r="B33" s="26" t="s">
        <v>28</v>
      </c>
      <c r="C33" s="27"/>
      <c r="D33" s="27">
        <f>SUM(E33:CC33)</f>
        <v>-10618989.5298924</v>
      </c>
      <c r="E33" s="27"/>
      <c r="F33" s="27">
        <f>PMT($D$8,$D$12,$D$13)</f>
        <v>-884915.79415769991</v>
      </c>
      <c r="G33" s="27">
        <f t="shared" ref="G33:Q33" si="2">PMT($D$8,$D$12,$D$13)</f>
        <v>-884915.79415769991</v>
      </c>
      <c r="H33" s="27">
        <f t="shared" si="2"/>
        <v>-884915.79415769991</v>
      </c>
      <c r="I33" s="27">
        <f t="shared" si="2"/>
        <v>-884915.79415769991</v>
      </c>
      <c r="J33" s="27">
        <f t="shared" si="2"/>
        <v>-884915.79415769991</v>
      </c>
      <c r="K33" s="27">
        <f t="shared" si="2"/>
        <v>-884915.79415769991</v>
      </c>
      <c r="L33" s="27">
        <f t="shared" si="2"/>
        <v>-884915.79415769991</v>
      </c>
      <c r="M33" s="27">
        <f t="shared" si="2"/>
        <v>-884915.79415769991</v>
      </c>
      <c r="N33" s="27">
        <f t="shared" si="2"/>
        <v>-884915.79415769991</v>
      </c>
      <c r="O33" s="27">
        <f t="shared" si="2"/>
        <v>-884915.79415769991</v>
      </c>
      <c r="P33" s="27">
        <f t="shared" si="2"/>
        <v>-884915.79415769991</v>
      </c>
      <c r="Q33" s="27">
        <f t="shared" si="2"/>
        <v>-884915.79415769991</v>
      </c>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6">
      <c r="A34" s="27"/>
      <c r="B34" s="27"/>
      <c r="C34" s="27" t="s">
        <v>29</v>
      </c>
      <c r="D34" s="27">
        <f t="shared" ref="D34:D35" si="3">SUM(E34:CC34)</f>
        <v>-8305000</v>
      </c>
      <c r="E34" s="27"/>
      <c r="F34" s="27">
        <f t="shared" ref="F34:Q34" si="4">PPMT($D$8,F32,$D$12,$D$13)</f>
        <v>-552715.79415770003</v>
      </c>
      <c r="G34" s="27">
        <f t="shared" si="4"/>
        <v>-574824.42592400801</v>
      </c>
      <c r="H34" s="27">
        <f t="shared" si="4"/>
        <v>-597817.4029609682</v>
      </c>
      <c r="I34" s="27">
        <f t="shared" si="4"/>
        <v>-621730.09907940705</v>
      </c>
      <c r="J34" s="27">
        <f t="shared" si="4"/>
        <v>-646599.30304258328</v>
      </c>
      <c r="K34" s="27">
        <f t="shared" si="4"/>
        <v>-672463.27516428661</v>
      </c>
      <c r="L34" s="27">
        <f t="shared" si="4"/>
        <v>-699361.80617085821</v>
      </c>
      <c r="M34" s="27">
        <f t="shared" si="4"/>
        <v>-727336.2784176924</v>
      </c>
      <c r="N34" s="27">
        <f t="shared" si="4"/>
        <v>-756429.7295544002</v>
      </c>
      <c r="O34" s="27">
        <f t="shared" si="4"/>
        <v>-786686.9187365761</v>
      </c>
      <c r="P34" s="27">
        <f t="shared" si="4"/>
        <v>-818154.39548603923</v>
      </c>
      <c r="Q34" s="27">
        <f t="shared" si="4"/>
        <v>-850880.57130548079</v>
      </c>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6">
      <c r="A35" s="27"/>
      <c r="B35" s="27"/>
      <c r="C35" s="27" t="s">
        <v>30</v>
      </c>
      <c r="D35" s="27">
        <f t="shared" si="3"/>
        <v>-2313989.5298923999</v>
      </c>
      <c r="E35" s="27"/>
      <c r="F35" s="27">
        <f t="shared" ref="F35:Q35" si="5">IPMT($D$8,F32,$D$12,$D13)</f>
        <v>-332200</v>
      </c>
      <c r="G35" s="27">
        <f t="shared" si="5"/>
        <v>-310091.36823369196</v>
      </c>
      <c r="H35" s="27">
        <f t="shared" si="5"/>
        <v>-287098.39119673165</v>
      </c>
      <c r="I35" s="27">
        <f t="shared" si="5"/>
        <v>-263185.69507829292</v>
      </c>
      <c r="J35" s="27">
        <f t="shared" si="5"/>
        <v>-238316.49111511663</v>
      </c>
      <c r="K35" s="27">
        <f t="shared" si="5"/>
        <v>-212452.51899341331</v>
      </c>
      <c r="L35" s="27">
        <f t="shared" si="5"/>
        <v>-185553.98798684185</v>
      </c>
      <c r="M35" s="27">
        <f t="shared" si="5"/>
        <v>-157579.51574000751</v>
      </c>
      <c r="N35" s="27">
        <f t="shared" si="5"/>
        <v>-128486.06460329983</v>
      </c>
      <c r="O35" s="27">
        <f t="shared" si="5"/>
        <v>-98228.875421123841</v>
      </c>
      <c r="P35" s="27">
        <f t="shared" si="5"/>
        <v>-66761.398671660791</v>
      </c>
      <c r="Q35" s="27">
        <f t="shared" si="5"/>
        <v>-34035.222852219231</v>
      </c>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6">
      <c r="A36" s="27"/>
      <c r="B36" s="33" t="s">
        <v>31</v>
      </c>
      <c r="C36" s="33"/>
      <c r="D36" s="27"/>
      <c r="E36" s="34">
        <f>D13</f>
        <v>8305000</v>
      </c>
      <c r="F36" s="34">
        <f t="shared" ref="F36:M36" si="6">E$36+F$34</f>
        <v>7752284.2058423003</v>
      </c>
      <c r="G36" s="34">
        <f t="shared" si="6"/>
        <v>7177459.7799182925</v>
      </c>
      <c r="H36" s="34">
        <f t="shared" si="6"/>
        <v>6579642.3769573243</v>
      </c>
      <c r="I36" s="34">
        <f t="shared" si="6"/>
        <v>5957912.2778779175</v>
      </c>
      <c r="J36" s="34">
        <f t="shared" si="6"/>
        <v>5311312.9748353343</v>
      </c>
      <c r="K36" s="34">
        <f t="shared" si="6"/>
        <v>4638849.6996710477</v>
      </c>
      <c r="L36" s="34">
        <f t="shared" si="6"/>
        <v>3939487.8935001893</v>
      </c>
      <c r="M36" s="34">
        <f t="shared" si="6"/>
        <v>3212151.6150824968</v>
      </c>
      <c r="N36" s="34">
        <f t="shared" ref="N36" si="7">M$36+N$34</f>
        <v>2455721.8855280965</v>
      </c>
      <c r="O36" s="34">
        <f t="shared" ref="O36" si="8">N$36+O$34</f>
        <v>1669034.9667915204</v>
      </c>
      <c r="P36" s="34">
        <f t="shared" ref="P36" si="9">O$36+P$34</f>
        <v>850880.57130548113</v>
      </c>
      <c r="Q36" s="34">
        <f t="shared" ref="Q36" si="10">P$36+Q$34</f>
        <v>0</v>
      </c>
      <c r="R36" s="34"/>
      <c r="S36" s="34"/>
      <c r="T36" s="34"/>
      <c r="U36" s="34"/>
      <c r="V36" s="34"/>
      <c r="W36" s="34"/>
      <c r="X36" s="34"/>
      <c r="Y36" s="34"/>
      <c r="Z36" s="34"/>
      <c r="AA36" s="34"/>
      <c r="AB36" s="34"/>
      <c r="AC36" s="34"/>
      <c r="AD36" s="34"/>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6">
      <c r="A37" s="27"/>
      <c r="B37" s="26" t="s">
        <v>32</v>
      </c>
      <c r="C37" s="27"/>
      <c r="D37" s="27">
        <f t="shared" ref="D37:D39" si="11">SUM(E37:CC37)</f>
        <v>-7486367.2329242919</v>
      </c>
      <c r="E37" s="34"/>
      <c r="F37" s="34">
        <f t="shared" ref="F37:Q37" si="12">F33*F29</f>
        <v>-710758.47526885371</v>
      </c>
      <c r="G37" s="34">
        <f t="shared" si="12"/>
        <v>-693659.76213229261</v>
      </c>
      <c r="H37" s="34">
        <f t="shared" si="12"/>
        <v>-676972.39265338657</v>
      </c>
      <c r="I37" s="34">
        <f t="shared" si="12"/>
        <v>-660686.47113979061</v>
      </c>
      <c r="J37" s="34">
        <f t="shared" si="12"/>
        <v>-644792.33995978197</v>
      </c>
      <c r="K37" s="34">
        <f t="shared" si="12"/>
        <v>-629280.57381523633</v>
      </c>
      <c r="L37" s="34">
        <f t="shared" si="12"/>
        <v>-614141.97415238013</v>
      </c>
      <c r="M37" s="34">
        <f t="shared" si="12"/>
        <v>-599367.56370700256</v>
      </c>
      <c r="N37" s="34">
        <f t="shared" si="12"/>
        <v>-584948.58118089335</v>
      </c>
      <c r="O37" s="34">
        <f t="shared" si="12"/>
        <v>-570876.47604635078</v>
      </c>
      <c r="P37" s="34">
        <f t="shared" si="12"/>
        <v>-557142.90347567538</v>
      </c>
      <c r="Q37" s="34">
        <f t="shared" si="12"/>
        <v>-543739.71939264657</v>
      </c>
      <c r="R37" s="34"/>
      <c r="S37" s="34"/>
      <c r="T37" s="34"/>
      <c r="U37" s="34"/>
      <c r="V37" s="34"/>
      <c r="W37" s="34"/>
      <c r="X37" s="34"/>
      <c r="Y37" s="34"/>
      <c r="Z37" s="34"/>
      <c r="AA37" s="34"/>
      <c r="AB37" s="34"/>
      <c r="AC37" s="34"/>
      <c r="AD37" s="34"/>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6">
      <c r="A38" s="27"/>
      <c r="B38" s="27"/>
      <c r="C38" s="27" t="s">
        <v>29</v>
      </c>
      <c r="D38" s="27">
        <f t="shared" si="11"/>
        <v>-5788860.5724161062</v>
      </c>
      <c r="E38" s="34"/>
      <c r="F38" s="34">
        <f t="shared" ref="F38:Q38" si="13">F34*F29</f>
        <v>-443937.64661695203</v>
      </c>
      <c r="G38" s="34">
        <f t="shared" si="13"/>
        <v>-450588.15447384969</v>
      </c>
      <c r="H38" s="34">
        <f t="shared" si="13"/>
        <v>-457338.29176089744</v>
      </c>
      <c r="I38" s="34">
        <f t="shared" si="13"/>
        <v>-464189.550999203</v>
      </c>
      <c r="J38" s="34">
        <f t="shared" si="13"/>
        <v>-471143.44706892211</v>
      </c>
      <c r="K38" s="34">
        <f t="shared" si="13"/>
        <v>-478201.51754421409</v>
      </c>
      <c r="L38" s="34">
        <f t="shared" si="13"/>
        <v>-485365.32303321396</v>
      </c>
      <c r="M38" s="34">
        <f t="shared" si="13"/>
        <v>-492636.44752309803</v>
      </c>
      <c r="N38" s="34">
        <f t="shared" si="13"/>
        <v>-500016.49873031955</v>
      </c>
      <c r="O38" s="34">
        <f t="shared" si="13"/>
        <v>-507507.10845608963</v>
      </c>
      <c r="P38" s="34">
        <f t="shared" si="13"/>
        <v>-515109.93294718518</v>
      </c>
      <c r="Q38" s="34">
        <f t="shared" si="13"/>
        <v>-522826.65326216025</v>
      </c>
      <c r="R38" s="34"/>
      <c r="S38" s="34"/>
      <c r="T38" s="34"/>
      <c r="U38" s="34"/>
      <c r="V38" s="34"/>
      <c r="W38" s="34"/>
      <c r="X38" s="34"/>
      <c r="Y38" s="34"/>
      <c r="Z38" s="34"/>
      <c r="AA38" s="34"/>
      <c r="AB38" s="34"/>
      <c r="AC38" s="34"/>
      <c r="AD38" s="34"/>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6">
      <c r="A39" s="27"/>
      <c r="B39" s="27"/>
      <c r="C39" s="27" t="s">
        <v>30</v>
      </c>
      <c r="D39" s="27">
        <f t="shared" si="11"/>
        <v>-1697506.6605081863</v>
      </c>
      <c r="E39" s="34"/>
      <c r="F39" s="34">
        <f t="shared" ref="F39:Q39" si="14">F35*F29</f>
        <v>-266820.82865190174</v>
      </c>
      <c r="G39" s="34">
        <f t="shared" si="14"/>
        <v>-243071.60765844298</v>
      </c>
      <c r="H39" s="34">
        <f t="shared" si="14"/>
        <v>-219634.10089248914</v>
      </c>
      <c r="I39" s="34">
        <f t="shared" si="14"/>
        <v>-196496.92014058772</v>
      </c>
      <c r="J39" s="34">
        <f t="shared" si="14"/>
        <v>-173648.89289085989</v>
      </c>
      <c r="K39" s="34">
        <f t="shared" si="14"/>
        <v>-151079.0562710223</v>
      </c>
      <c r="L39" s="34">
        <f t="shared" si="14"/>
        <v>-128776.65111916627</v>
      </c>
      <c r="M39" s="34">
        <f t="shared" si="14"/>
        <v>-106731.11618390447</v>
      </c>
      <c r="N39" s="34">
        <f t="shared" si="14"/>
        <v>-84932.0824505739</v>
      </c>
      <c r="O39" s="34">
        <f t="shared" si="14"/>
        <v>-63369.367590261179</v>
      </c>
      <c r="P39" s="34">
        <f t="shared" si="14"/>
        <v>-42032.970528490303</v>
      </c>
      <c r="Q39" s="34">
        <f t="shared" si="14"/>
        <v>-20913.066130486408</v>
      </c>
      <c r="R39" s="34"/>
      <c r="S39" s="34"/>
      <c r="T39" s="34"/>
      <c r="U39" s="34"/>
      <c r="V39" s="34"/>
      <c r="W39" s="34"/>
      <c r="X39" s="34"/>
      <c r="Y39" s="34"/>
      <c r="Z39" s="34"/>
      <c r="AA39" s="34"/>
      <c r="AB39" s="34"/>
      <c r="AC39" s="34"/>
      <c r="AD39" s="34"/>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6">
      <c r="A40" s="26"/>
      <c r="B40" s="27"/>
      <c r="C40" s="27"/>
      <c r="D40" s="27"/>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6" s="32" customFormat="1" ht="21">
      <c r="A41" s="29" t="s">
        <v>33</v>
      </c>
      <c r="B41" s="30"/>
      <c r="C41" s="30"/>
      <c r="D41" s="30"/>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6" s="40" customFormat="1">
      <c r="A42" s="241" t="s">
        <v>150</v>
      </c>
      <c r="B42" s="242"/>
      <c r="C42" s="243"/>
      <c r="D42" s="37"/>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6">
      <c r="A43" s="2" t="s">
        <v>24</v>
      </c>
      <c r="D43" s="2"/>
      <c r="E43" s="23"/>
      <c r="I43" s="23" t="s">
        <v>103</v>
      </c>
      <c r="J43" s="23" t="s">
        <v>103</v>
      </c>
      <c r="K43" s="23" t="s">
        <v>103</v>
      </c>
      <c r="L43" s="23" t="s">
        <v>103</v>
      </c>
      <c r="M43" s="23" t="s">
        <v>103</v>
      </c>
      <c r="N43" s="23" t="s">
        <v>103</v>
      </c>
      <c r="O43" s="23" t="s">
        <v>103</v>
      </c>
      <c r="P43" s="23" t="s">
        <v>103</v>
      </c>
      <c r="Q43" s="23" t="s">
        <v>103</v>
      </c>
      <c r="R43" s="23" t="s">
        <v>103</v>
      </c>
      <c r="S43" s="23" t="s">
        <v>103</v>
      </c>
      <c r="T43" s="23" t="s">
        <v>103</v>
      </c>
      <c r="U43" s="23" t="s">
        <v>103</v>
      </c>
      <c r="V43" s="23" t="s">
        <v>103</v>
      </c>
      <c r="W43" s="23" t="s">
        <v>103</v>
      </c>
      <c r="X43" s="23" t="s">
        <v>103</v>
      </c>
      <c r="Y43" s="23" t="s">
        <v>103</v>
      </c>
      <c r="Z43" s="23" t="s">
        <v>103</v>
      </c>
      <c r="AA43" s="23" t="s">
        <v>103</v>
      </c>
      <c r="AB43" s="23" t="s">
        <v>103</v>
      </c>
      <c r="AC43" s="23" t="s">
        <v>103</v>
      </c>
      <c r="AD43" s="23" t="s">
        <v>103</v>
      </c>
      <c r="AE43" s="23" t="s">
        <v>103</v>
      </c>
      <c r="AF43" s="52">
        <v>1</v>
      </c>
      <c r="AG43" s="52">
        <v>2</v>
      </c>
      <c r="AH43" s="52">
        <v>3</v>
      </c>
      <c r="AI43" s="52">
        <v>4</v>
      </c>
      <c r="AJ43" s="52">
        <v>5</v>
      </c>
      <c r="AK43" s="52">
        <v>6</v>
      </c>
      <c r="AL43" s="52">
        <v>7</v>
      </c>
      <c r="AM43" s="52">
        <v>8</v>
      </c>
      <c r="AN43" s="52"/>
      <c r="AO43" s="52"/>
      <c r="AP43" s="52"/>
      <c r="AQ43" s="52"/>
      <c r="AR43" s="52"/>
      <c r="AS43" s="52"/>
      <c r="AT43" s="52"/>
      <c r="AU43" s="52"/>
      <c r="AV43" s="52"/>
      <c r="AW43" s="52"/>
      <c r="AX43" s="52"/>
      <c r="AY43" s="52"/>
      <c r="BJ43" s="23"/>
      <c r="BK43" s="24"/>
      <c r="BL43" s="23"/>
      <c r="BM43" s="24"/>
      <c r="BN43" s="23"/>
      <c r="BO43" s="24"/>
      <c r="BP43" s="23"/>
      <c r="BQ43" s="24"/>
      <c r="BR43" s="23"/>
      <c r="BS43" s="24"/>
      <c r="BT43" s="23"/>
      <c r="BU43" s="24"/>
      <c r="BV43" s="23"/>
      <c r="BW43" s="24"/>
      <c r="BX43" s="23"/>
    </row>
    <row r="44" spans="1:76">
      <c r="A44" s="41"/>
      <c r="B44" s="26" t="s">
        <v>28</v>
      </c>
      <c r="C44" s="27"/>
      <c r="D44" s="27">
        <f>SUM(E44:CD44)</f>
        <v>-8969911.4704964813</v>
      </c>
      <c r="E44" s="34"/>
      <c r="F44" s="34"/>
      <c r="G44" s="34"/>
      <c r="H44" s="34"/>
      <c r="I44" s="34"/>
      <c r="J44" s="34"/>
      <c r="K44" s="34"/>
      <c r="L44" s="34"/>
      <c r="M44" s="34"/>
      <c r="N44" s="34"/>
      <c r="O44" s="34"/>
      <c r="P44" s="27"/>
      <c r="Q44" s="27"/>
      <c r="R44" s="27"/>
      <c r="S44" s="27"/>
      <c r="T44" s="27"/>
      <c r="U44" s="27"/>
      <c r="V44" s="27"/>
      <c r="W44" s="27"/>
      <c r="X44" s="27"/>
      <c r="Y44" s="27"/>
      <c r="Z44" s="27"/>
      <c r="AA44" s="27"/>
      <c r="AD44" s="238"/>
      <c r="AF44" s="27">
        <f t="shared" ref="AF44:AM44" si="15">PMT($D$18,$D$22,$D$23)</f>
        <v>-1121238.9338120602</v>
      </c>
      <c r="AG44" s="27">
        <f t="shared" si="15"/>
        <v>-1121238.9338120602</v>
      </c>
      <c r="AH44" s="27">
        <f t="shared" si="15"/>
        <v>-1121238.9338120602</v>
      </c>
      <c r="AI44" s="27">
        <f t="shared" si="15"/>
        <v>-1121238.9338120602</v>
      </c>
      <c r="AJ44" s="27">
        <f t="shared" si="15"/>
        <v>-1121238.9338120602</v>
      </c>
      <c r="AK44" s="27">
        <f t="shared" si="15"/>
        <v>-1121238.9338120602</v>
      </c>
      <c r="AL44" s="27">
        <f t="shared" si="15"/>
        <v>-1121238.9338120602</v>
      </c>
      <c r="AM44" s="27">
        <f t="shared" si="15"/>
        <v>-1121238.9338120602</v>
      </c>
      <c r="AN44" s="27"/>
      <c r="AO44" s="27"/>
      <c r="AP44" s="27"/>
      <c r="AQ44" s="27"/>
      <c r="AR44" s="27"/>
      <c r="AS44" s="27"/>
      <c r="AT44" s="27"/>
      <c r="AU44" s="27"/>
      <c r="AV44" s="27"/>
      <c r="AW44" s="27"/>
      <c r="AX44" s="27"/>
      <c r="AY44" s="27"/>
      <c r="AZ44" s="27"/>
      <c r="BA44" s="27"/>
      <c r="BB44" s="27"/>
      <c r="BC44" s="27"/>
      <c r="BD44" s="27"/>
      <c r="BE44" s="27"/>
      <c r="BF44" s="27"/>
      <c r="BG44" s="27"/>
      <c r="BH44" s="27"/>
      <c r="BI44" s="27"/>
    </row>
    <row r="45" spans="1:76">
      <c r="A45" s="41"/>
      <c r="B45" s="27"/>
      <c r="C45" s="27" t="s">
        <v>29</v>
      </c>
      <c r="D45" s="27">
        <f>SUM(E45:CD45)</f>
        <v>-8213615.0000000019</v>
      </c>
      <c r="E45" s="34"/>
      <c r="F45" s="34"/>
      <c r="G45" s="34"/>
      <c r="H45" s="34"/>
      <c r="I45" s="34"/>
      <c r="J45" s="34"/>
      <c r="K45" s="34"/>
      <c r="L45" s="34"/>
      <c r="M45" s="34"/>
      <c r="N45" s="34"/>
      <c r="O45" s="34"/>
      <c r="P45" s="27"/>
      <c r="Q45" s="27"/>
      <c r="R45" s="27"/>
      <c r="S45" s="27"/>
      <c r="T45" s="27"/>
      <c r="U45" s="27"/>
      <c r="V45" s="27"/>
      <c r="W45" s="27"/>
      <c r="X45" s="27"/>
      <c r="Y45" s="27"/>
      <c r="Z45" s="27"/>
      <c r="AA45" s="27"/>
      <c r="AD45" s="238"/>
      <c r="AF45" s="27">
        <f t="shared" ref="AF45:AM45" si="16">PPMT($D$18,AF43, $D$22,$D$23)</f>
        <v>-956966.63381206023</v>
      </c>
      <c r="AG45" s="27">
        <f t="shared" si="16"/>
        <v>-976105.96648830129</v>
      </c>
      <c r="AH45" s="27">
        <f t="shared" si="16"/>
        <v>-995628.08581806754</v>
      </c>
      <c r="AI45" s="27">
        <f t="shared" si="16"/>
        <v>-1015540.6475344289</v>
      </c>
      <c r="AJ45" s="27">
        <f t="shared" si="16"/>
        <v>-1035851.4604851173</v>
      </c>
      <c r="AK45" s="27">
        <f t="shared" si="16"/>
        <v>-1056568.4896948198</v>
      </c>
      <c r="AL45" s="27">
        <f t="shared" si="16"/>
        <v>-1077699.8594887161</v>
      </c>
      <c r="AM45" s="27">
        <f t="shared" si="16"/>
        <v>-1099253.8566784903</v>
      </c>
      <c r="AN45" s="27"/>
      <c r="AO45" s="27"/>
      <c r="AP45" s="27"/>
      <c r="AQ45" s="27"/>
      <c r="AR45" s="27"/>
      <c r="AS45" s="27"/>
      <c r="AT45" s="27"/>
      <c r="AU45" s="27"/>
      <c r="AV45" s="27"/>
      <c r="AW45" s="27"/>
      <c r="AX45" s="27"/>
      <c r="AY45" s="27"/>
      <c r="AZ45" s="27"/>
      <c r="BA45" s="27"/>
      <c r="BB45" s="27"/>
      <c r="BC45" s="27"/>
      <c r="BD45" s="27"/>
      <c r="BE45" s="27"/>
      <c r="BF45" s="27"/>
      <c r="BG45" s="27"/>
      <c r="BH45" s="27"/>
      <c r="BI45" s="27"/>
    </row>
    <row r="46" spans="1:76">
      <c r="A46" s="41"/>
      <c r="B46" s="27"/>
      <c r="C46" s="27" t="s">
        <v>30</v>
      </c>
      <c r="D46" s="27">
        <f>SUM(E46:CD46)</f>
        <v>-756296.47049648035</v>
      </c>
      <c r="E46" s="27"/>
      <c r="F46" s="27"/>
      <c r="G46" s="27"/>
      <c r="H46" s="27"/>
      <c r="I46" s="27"/>
      <c r="J46" s="27"/>
      <c r="K46" s="27"/>
      <c r="L46" s="27"/>
      <c r="M46" s="27"/>
      <c r="N46" s="27"/>
      <c r="O46" s="34"/>
      <c r="P46" s="27"/>
      <c r="Q46" s="27"/>
      <c r="R46" s="27"/>
      <c r="S46" s="27"/>
      <c r="T46" s="27"/>
      <c r="U46" s="27"/>
      <c r="V46" s="27"/>
      <c r="W46" s="27"/>
      <c r="X46" s="27"/>
      <c r="Y46" s="27"/>
      <c r="Z46" s="27"/>
      <c r="AA46" s="27"/>
      <c r="AD46" s="238"/>
      <c r="AF46" s="27">
        <f t="shared" ref="AF46:AM46" si="17">IPMT($D$18,AF43, $D$22,$D$23)</f>
        <v>-164272.30000000002</v>
      </c>
      <c r="AG46" s="27">
        <f t="shared" si="17"/>
        <v>-145132.96732375884</v>
      </c>
      <c r="AH46" s="27">
        <f t="shared" si="17"/>
        <v>-125610.84799399279</v>
      </c>
      <c r="AI46" s="27">
        <f t="shared" si="17"/>
        <v>-105698.28627763143</v>
      </c>
      <c r="AJ46" s="27">
        <f t="shared" si="17"/>
        <v>-85387.473326942869</v>
      </c>
      <c r="AK46" s="27">
        <f t="shared" si="17"/>
        <v>-64670.444117240528</v>
      </c>
      <c r="AL46" s="27">
        <f t="shared" si="17"/>
        <v>-43539.074323344132</v>
      </c>
      <c r="AM46" s="27">
        <f t="shared" si="17"/>
        <v>-21985.077133569805</v>
      </c>
      <c r="AN46" s="27"/>
      <c r="AO46" s="27"/>
      <c r="AP46" s="27"/>
      <c r="AQ46" s="27"/>
      <c r="AR46" s="27"/>
      <c r="AS46" s="27"/>
      <c r="AT46" s="27"/>
      <c r="AU46" s="27"/>
      <c r="AV46" s="27"/>
      <c r="AW46" s="27"/>
      <c r="AX46" s="27"/>
      <c r="AY46" s="27"/>
      <c r="AZ46" s="27"/>
      <c r="BA46" s="27"/>
      <c r="BB46" s="27"/>
      <c r="BC46" s="27"/>
      <c r="BD46" s="27"/>
      <c r="BE46" s="27"/>
      <c r="BF46" s="27"/>
      <c r="BG46" s="27"/>
      <c r="BH46" s="27"/>
      <c r="BI46" s="27"/>
    </row>
    <row r="47" spans="1:76">
      <c r="A47" s="41"/>
      <c r="B47" s="33" t="s">
        <v>31</v>
      </c>
      <c r="C47" s="42"/>
      <c r="D47" s="27"/>
      <c r="E47" s="27">
        <f>D23</f>
        <v>8213615</v>
      </c>
      <c r="F47" s="27"/>
      <c r="G47" s="27"/>
      <c r="H47" s="27"/>
      <c r="I47" s="27"/>
      <c r="J47" s="27"/>
      <c r="K47" s="27"/>
      <c r="L47" s="27"/>
      <c r="M47" s="27"/>
      <c r="N47" s="27"/>
      <c r="O47" s="27"/>
      <c r="P47" s="27"/>
      <c r="Q47" s="27"/>
      <c r="R47" s="27"/>
      <c r="S47" s="27"/>
      <c r="T47" s="27"/>
      <c r="U47" s="27"/>
      <c r="V47" s="27"/>
      <c r="W47" s="27"/>
      <c r="X47" s="27"/>
      <c r="Y47" s="27"/>
      <c r="Z47" s="27"/>
      <c r="AA47" s="27"/>
      <c r="AD47" s="238"/>
      <c r="AF47" s="27">
        <f>D23+AF45</f>
        <v>7256648.3661879394</v>
      </c>
      <c r="AG47" s="27">
        <f>AF47+AG45</f>
        <v>6280542.3996996377</v>
      </c>
      <c r="AH47" s="27">
        <f t="shared" ref="AH47:AM47" si="18">AG47+AH45</f>
        <v>5284914.3138815705</v>
      </c>
      <c r="AI47" s="27">
        <f t="shared" si="18"/>
        <v>4269373.6663471414</v>
      </c>
      <c r="AJ47" s="27">
        <f t="shared" si="18"/>
        <v>3233522.2058620239</v>
      </c>
      <c r="AK47" s="27">
        <f t="shared" si="18"/>
        <v>2176953.7161672041</v>
      </c>
      <c r="AL47" s="27">
        <f t="shared" si="18"/>
        <v>1099253.856678488</v>
      </c>
      <c r="AM47" s="27">
        <f t="shared" si="18"/>
        <v>-2.3283064365386963E-9</v>
      </c>
      <c r="AN47" s="27"/>
      <c r="AO47" s="27"/>
      <c r="AP47" s="27"/>
      <c r="AQ47" s="27"/>
      <c r="AR47" s="27"/>
      <c r="AS47" s="27"/>
      <c r="AT47" s="27"/>
      <c r="AU47" s="27"/>
      <c r="AV47" s="27"/>
      <c r="AW47" s="27"/>
      <c r="AX47" s="27"/>
      <c r="AY47" s="27"/>
      <c r="AZ47" s="27"/>
      <c r="BA47" s="27"/>
      <c r="BB47" s="27"/>
      <c r="BC47" s="27"/>
      <c r="BD47" s="27"/>
      <c r="BE47" s="27"/>
      <c r="BF47" s="27"/>
      <c r="BG47" s="27"/>
      <c r="BH47" s="27"/>
      <c r="BI47" s="27"/>
    </row>
    <row r="48" spans="1:76" ht="21">
      <c r="A48" s="43"/>
      <c r="B48" s="26" t="s">
        <v>32</v>
      </c>
      <c r="C48" s="27"/>
      <c r="D48" s="27">
        <f>SUM(E48:CD48)</f>
        <v>-3518078.1824360481</v>
      </c>
      <c r="E48" s="27"/>
      <c r="F48" s="27"/>
      <c r="G48" s="27"/>
      <c r="H48" s="27"/>
      <c r="I48" s="27"/>
      <c r="J48" s="27"/>
      <c r="K48" s="27"/>
      <c r="L48" s="27"/>
      <c r="M48" s="27"/>
      <c r="N48" s="27"/>
      <c r="O48" s="27"/>
      <c r="P48" s="27"/>
      <c r="Q48" s="27"/>
      <c r="R48" s="27"/>
      <c r="S48" s="27"/>
      <c r="T48" s="27"/>
      <c r="U48" s="27"/>
      <c r="V48" s="27"/>
      <c r="W48" s="27"/>
      <c r="X48" s="27"/>
      <c r="Y48" s="27"/>
      <c r="Z48" s="27"/>
      <c r="AA48" s="27"/>
      <c r="AD48" s="238"/>
      <c r="AF48" s="27">
        <f>AF44*AF29</f>
        <v>-478138.94184992259</v>
      </c>
      <c r="AG48" s="27">
        <f t="shared" ref="AG48:AM48" si="19">AG44*AG29</f>
        <v>-466636.35568235262</v>
      </c>
      <c r="AH48" s="27">
        <f t="shared" si="19"/>
        <v>-455410.48717352515</v>
      </c>
      <c r="AI48" s="27">
        <f t="shared" si="19"/>
        <v>-444454.67932808783</v>
      </c>
      <c r="AJ48" s="27">
        <f t="shared" si="19"/>
        <v>-433762.43529799226</v>
      </c>
      <c r="AK48" s="27">
        <f t="shared" si="19"/>
        <v>-423327.41452983179</v>
      </c>
      <c r="AL48" s="27">
        <f t="shared" si="19"/>
        <v>-413143.42900486192</v>
      </c>
      <c r="AM48" s="27">
        <f t="shared" si="19"/>
        <v>-403204.43956947431</v>
      </c>
      <c r="AN48" s="27"/>
      <c r="AO48" s="27"/>
      <c r="AP48" s="27"/>
      <c r="AQ48" s="27"/>
      <c r="AR48" s="27"/>
      <c r="AS48" s="27"/>
      <c r="AT48" s="27"/>
      <c r="AU48" s="27"/>
      <c r="AV48" s="27"/>
      <c r="AW48" s="27"/>
      <c r="AX48" s="27"/>
      <c r="AY48" s="27"/>
      <c r="AZ48" s="27"/>
      <c r="BA48" s="27"/>
      <c r="BB48" s="27"/>
      <c r="BC48" s="27"/>
      <c r="BD48" s="27"/>
      <c r="BE48" s="27"/>
      <c r="BF48" s="27"/>
      <c r="BG48" s="27"/>
      <c r="BH48" s="27"/>
      <c r="BI48" s="27"/>
    </row>
    <row r="49" spans="1:61">
      <c r="A49" s="27"/>
      <c r="B49" s="27"/>
      <c r="C49" s="27" t="s">
        <v>29</v>
      </c>
      <c r="D49" s="27">
        <f>SUM(E49:CD49)</f>
        <v>-3213309.1441775234</v>
      </c>
      <c r="E49" s="27"/>
      <c r="F49" s="27"/>
      <c r="G49" s="27"/>
      <c r="H49" s="27"/>
      <c r="I49" s="27"/>
      <c r="J49" s="27"/>
      <c r="K49" s="27"/>
      <c r="L49" s="27"/>
      <c r="M49" s="27"/>
      <c r="N49" s="27"/>
      <c r="O49" s="27"/>
      <c r="P49" s="27"/>
      <c r="Q49" s="27"/>
      <c r="R49" s="27"/>
      <c r="S49" s="27"/>
      <c r="T49" s="27"/>
      <c r="U49" s="27"/>
      <c r="V49" s="27"/>
      <c r="W49" s="27"/>
      <c r="X49" s="27"/>
      <c r="Y49" s="27"/>
      <c r="Z49" s="27"/>
      <c r="AA49" s="27"/>
      <c r="AD49" s="238"/>
      <c r="AF49" s="27">
        <f>AF45*AF29</f>
        <v>-408086.9829599376</v>
      </c>
      <c r="AG49" s="27">
        <f t="shared" ref="AG49:AM49" si="20">AG45*AG29</f>
        <v>-406235.02915057464</v>
      </c>
      <c r="AH49" s="27">
        <f t="shared" si="20"/>
        <v>-404391.47975756228</v>
      </c>
      <c r="AI49" s="27">
        <f t="shared" si="20"/>
        <v>-402556.29664052464</v>
      </c>
      <c r="AJ49" s="27">
        <f t="shared" si="20"/>
        <v>-400729.44183217199</v>
      </c>
      <c r="AK49" s="27">
        <f t="shared" si="20"/>
        <v>-398910.8775375156</v>
      </c>
      <c r="AL49" s="27">
        <f t="shared" si="20"/>
        <v>-397100.56613308529</v>
      </c>
      <c r="AM49" s="27">
        <f t="shared" si="20"/>
        <v>-395298.4701661513</v>
      </c>
      <c r="AN49" s="27"/>
      <c r="AO49" s="27"/>
      <c r="AP49" s="27"/>
      <c r="AQ49" s="27"/>
      <c r="AR49" s="27"/>
      <c r="AS49" s="27"/>
      <c r="AT49" s="27"/>
      <c r="AU49" s="27"/>
      <c r="AV49" s="27"/>
      <c r="AW49" s="27"/>
      <c r="AX49" s="27"/>
      <c r="AY49" s="27"/>
      <c r="AZ49" s="27"/>
      <c r="BA49" s="27"/>
      <c r="BB49" s="27"/>
      <c r="BC49" s="27"/>
      <c r="BD49" s="27"/>
      <c r="BE49" s="27"/>
      <c r="BF49" s="27"/>
      <c r="BG49" s="27"/>
      <c r="BH49" s="27"/>
      <c r="BI49" s="27"/>
    </row>
    <row r="50" spans="1:61">
      <c r="A50" s="27"/>
      <c r="B50" s="27"/>
      <c r="C50" s="27" t="s">
        <v>30</v>
      </c>
      <c r="D50" s="27">
        <f>SUM(E50:CD50)</f>
        <v>-304769.03825852531</v>
      </c>
      <c r="E50" s="27"/>
      <c r="F50" s="27"/>
      <c r="G50" s="27"/>
      <c r="H50" s="27"/>
      <c r="I50" s="27"/>
      <c r="J50" s="27"/>
      <c r="K50" s="27"/>
      <c r="L50" s="27"/>
      <c r="M50" s="27"/>
      <c r="N50" s="27"/>
      <c r="O50" s="27"/>
      <c r="P50" s="27"/>
      <c r="Q50" s="27"/>
      <c r="R50" s="27"/>
      <c r="S50" s="27"/>
      <c r="T50" s="27"/>
      <c r="U50" s="27"/>
      <c r="V50" s="27"/>
      <c r="W50" s="27"/>
      <c r="X50" s="27"/>
      <c r="Y50" s="27"/>
      <c r="Z50" s="27"/>
      <c r="AA50" s="27"/>
      <c r="AD50" s="238"/>
      <c r="AF50" s="27">
        <f>AF46*AF29</f>
        <v>-70051.958889984991</v>
      </c>
      <c r="AG50" s="27">
        <f t="shared" ref="AG50:AM50" si="21">AG46*AG29</f>
        <v>-60401.32653177793</v>
      </c>
      <c r="AH50" s="27">
        <f t="shared" si="21"/>
        <v>-51019.007415962929</v>
      </c>
      <c r="AI50" s="27">
        <f t="shared" si="21"/>
        <v>-41898.382687563251</v>
      </c>
      <c r="AJ50" s="27">
        <f t="shared" si="21"/>
        <v>-33032.993465820298</v>
      </c>
      <c r="AK50" s="27">
        <f t="shared" si="21"/>
        <v>-24416.536992316254</v>
      </c>
      <c r="AL50" s="27">
        <f t="shared" si="21"/>
        <v>-16042.862871776646</v>
      </c>
      <c r="AM50" s="27">
        <f t="shared" si="21"/>
        <v>-7905.9694033230253</v>
      </c>
      <c r="AN50" s="27"/>
      <c r="AO50" s="27"/>
      <c r="AP50" s="27"/>
      <c r="AQ50" s="27"/>
      <c r="AR50" s="27"/>
      <c r="AS50" s="27"/>
      <c r="AT50" s="27"/>
      <c r="AU50" s="27"/>
      <c r="AV50" s="27"/>
      <c r="AW50" s="27"/>
      <c r="AX50" s="27"/>
      <c r="AY50" s="27"/>
      <c r="AZ50" s="27"/>
      <c r="BA50" s="27"/>
      <c r="BB50" s="27"/>
      <c r="BC50" s="27"/>
      <c r="BD50" s="27"/>
      <c r="BE50" s="27"/>
      <c r="BF50" s="27"/>
      <c r="BG50" s="27"/>
      <c r="BH50" s="27"/>
      <c r="BI50" s="27"/>
    </row>
    <row r="51" spans="1:61">
      <c r="A51" s="24"/>
      <c r="C51" s="47"/>
      <c r="D51" s="47"/>
      <c r="E51" s="47"/>
      <c r="F51" s="47"/>
      <c r="G51" s="45"/>
    </row>
    <row r="52" spans="1:61">
      <c r="A52" s="24"/>
      <c r="C52" s="47"/>
      <c r="D52" s="47"/>
      <c r="E52" s="47"/>
      <c r="F52" s="47"/>
      <c r="G52" s="45"/>
      <c r="J52" s="48"/>
    </row>
    <row r="53" spans="1:61">
      <c r="A53" s="24"/>
      <c r="C53" s="47"/>
      <c r="D53" s="47"/>
      <c r="E53" s="47"/>
      <c r="F53" s="47"/>
      <c r="G53" s="45"/>
    </row>
    <row r="54" spans="1:61">
      <c r="A54" s="24"/>
      <c r="C54" s="47"/>
      <c r="D54" s="47"/>
      <c r="E54" s="47"/>
      <c r="F54" s="47"/>
      <c r="G54" s="45"/>
      <c r="J54" s="45"/>
    </row>
    <row r="55" spans="1:61">
      <c r="A55" s="24"/>
      <c r="C55" s="47"/>
      <c r="D55" s="47"/>
      <c r="E55" s="47"/>
      <c r="F55" s="47"/>
      <c r="G55" s="45"/>
    </row>
    <row r="56" spans="1:61">
      <c r="A56" s="24"/>
      <c r="C56" s="47"/>
      <c r="D56" s="47"/>
      <c r="E56" s="47"/>
      <c r="F56" s="47"/>
      <c r="G56" s="45"/>
    </row>
    <row r="57" spans="1:61">
      <c r="A57" s="24"/>
      <c r="C57" s="47"/>
      <c r="D57" s="47"/>
      <c r="E57" s="47"/>
      <c r="F57" s="47"/>
      <c r="G57" s="45"/>
    </row>
    <row r="58" spans="1:61">
      <c r="A58" s="24"/>
      <c r="C58" s="47"/>
      <c r="D58" s="47"/>
      <c r="E58" s="47"/>
      <c r="F58" s="47"/>
      <c r="G58" s="45"/>
    </row>
    <row r="59" spans="1:61">
      <c r="A59" s="24"/>
      <c r="C59" s="47"/>
      <c r="D59" s="47"/>
      <c r="E59" s="47"/>
      <c r="F59" s="47"/>
      <c r="G59" s="45"/>
    </row>
    <row r="60" spans="1:61">
      <c r="A60" s="24"/>
      <c r="C60" s="47"/>
      <c r="D60" s="47"/>
      <c r="E60" s="47"/>
      <c r="F60" s="47"/>
      <c r="G60" s="45"/>
    </row>
    <row r="61" spans="1:61">
      <c r="A61" s="24"/>
      <c r="C61" s="47"/>
      <c r="D61" s="47"/>
      <c r="E61" s="47"/>
      <c r="F61" s="47"/>
      <c r="G61" s="45"/>
    </row>
    <row r="62" spans="1:61">
      <c r="A62" s="24"/>
      <c r="C62" s="47"/>
      <c r="D62" s="47"/>
      <c r="E62" s="47"/>
      <c r="F62" s="47"/>
      <c r="G62" s="45"/>
    </row>
    <row r="63" spans="1:61">
      <c r="A63" s="24"/>
      <c r="C63" s="47"/>
      <c r="D63" s="47"/>
      <c r="E63" s="47"/>
      <c r="F63" s="47"/>
      <c r="G63" s="45"/>
    </row>
    <row r="64" spans="1:61">
      <c r="A64" s="24"/>
      <c r="C64" s="47"/>
      <c r="D64" s="47"/>
      <c r="E64" s="47"/>
      <c r="F64" s="47"/>
      <c r="G64" s="45"/>
    </row>
    <row r="65" spans="1:7">
      <c r="A65" s="24"/>
      <c r="C65" s="47"/>
      <c r="D65" s="47"/>
      <c r="E65" s="47"/>
      <c r="F65" s="47"/>
      <c r="G65" s="45"/>
    </row>
    <row r="66" spans="1:7">
      <c r="A66" s="24"/>
      <c r="C66" s="47"/>
      <c r="D66" s="47"/>
      <c r="E66" s="47"/>
      <c r="F66" s="47"/>
      <c r="G66" s="45"/>
    </row>
    <row r="67" spans="1:7">
      <c r="A67" s="24"/>
      <c r="C67" s="47"/>
      <c r="D67" s="47"/>
      <c r="E67" s="47"/>
      <c r="F67" s="47"/>
      <c r="G67" s="45"/>
    </row>
    <row r="68" spans="1:7">
      <c r="A68" s="24"/>
      <c r="C68" s="47"/>
      <c r="D68" s="47"/>
      <c r="E68" s="47"/>
      <c r="F68" s="47"/>
      <c r="G68" s="45"/>
    </row>
    <row r="69" spans="1:7">
      <c r="A69" s="24"/>
      <c r="C69" s="47"/>
      <c r="D69" s="47"/>
      <c r="E69" s="47"/>
      <c r="F69" s="47"/>
      <c r="G69" s="45"/>
    </row>
    <row r="70" spans="1:7">
      <c r="A70" s="24"/>
      <c r="C70" s="47"/>
      <c r="D70" s="47"/>
      <c r="E70" s="47"/>
      <c r="F70" s="47"/>
      <c r="G70" s="45"/>
    </row>
    <row r="71" spans="1:7">
      <c r="A71" s="24"/>
      <c r="C71" s="47"/>
      <c r="D71" s="47"/>
      <c r="E71" s="47"/>
      <c r="F71" s="47"/>
      <c r="G71" s="45"/>
    </row>
    <row r="72" spans="1:7">
      <c r="A72" s="24"/>
      <c r="C72" s="47"/>
      <c r="D72" s="47"/>
      <c r="E72" s="47"/>
      <c r="F72" s="47"/>
      <c r="G72" s="45"/>
    </row>
  </sheetData>
  <mergeCells count="5">
    <mergeCell ref="A6:D6"/>
    <mergeCell ref="F6:G6"/>
    <mergeCell ref="F11:G11"/>
    <mergeCell ref="A16:D16"/>
    <mergeCell ref="F17:G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C3FCE-4419-F041-BBB0-2A81CDBF419D}">
  <sheetPr>
    <tabColor rgb="FF00B0F0"/>
  </sheetPr>
  <dimension ref="A1:BI155"/>
  <sheetViews>
    <sheetView topLeftCell="A4" workbookViewId="0">
      <selection activeCell="F10" sqref="F10"/>
    </sheetView>
  </sheetViews>
  <sheetFormatPr defaultColWidth="11.19921875" defaultRowHeight="15.6"/>
  <cols>
    <col min="1" max="1" width="6.69921875" customWidth="1"/>
    <col min="2" max="2" width="10.69921875" customWidth="1"/>
    <col min="3" max="3" width="28.796875" customWidth="1"/>
    <col min="4" max="4" width="18" customWidth="1"/>
    <col min="5" max="5" width="25.69921875" customWidth="1"/>
    <col min="6" max="6" width="20" customWidth="1"/>
    <col min="7" max="8" width="15.796875" customWidth="1"/>
    <col min="9" max="9" width="21.796875" customWidth="1"/>
    <col min="10" max="54" width="15.796875" customWidth="1"/>
    <col min="55" max="55" width="15.19921875" customWidth="1"/>
    <col min="56" max="56" width="19.69921875" customWidth="1"/>
    <col min="57" max="57" width="14" customWidth="1"/>
    <col min="58" max="58" width="15" customWidth="1"/>
    <col min="59" max="59" width="14.69921875" customWidth="1"/>
    <col min="60" max="61" width="14.19921875" customWidth="1"/>
  </cols>
  <sheetData>
    <row r="1" spans="1:12" s="157" customFormat="1" ht="21">
      <c r="A1" s="158" t="s">
        <v>148</v>
      </c>
    </row>
    <row r="3" spans="1:12" ht="21">
      <c r="A3" s="347" t="s">
        <v>1</v>
      </c>
      <c r="B3" s="348"/>
      <c r="C3" s="348"/>
      <c r="D3" s="349"/>
      <c r="F3" s="321" t="s">
        <v>2</v>
      </c>
      <c r="G3" s="322"/>
    </row>
    <row r="4" spans="1:12">
      <c r="A4" s="55" t="s">
        <v>3</v>
      </c>
      <c r="B4" s="22"/>
      <c r="C4" s="22"/>
      <c r="D4" s="131">
        <f>Data!D27</f>
        <v>2000</v>
      </c>
      <c r="F4" s="6" t="s">
        <v>4</v>
      </c>
      <c r="G4" s="7">
        <f>D10</f>
        <v>5000000</v>
      </c>
    </row>
    <row r="5" spans="1:12">
      <c r="A5" s="4" t="s">
        <v>5</v>
      </c>
      <c r="B5" s="126"/>
      <c r="C5" s="126"/>
      <c r="D5" s="229">
        <f>Data!F27</f>
        <v>5.5E-2</v>
      </c>
      <c r="F5" s="6" t="s">
        <v>6</v>
      </c>
      <c r="G5" s="9">
        <f>D30*-1</f>
        <v>7823567.6438516751</v>
      </c>
    </row>
    <row r="6" spans="1:12">
      <c r="A6" s="4" t="s">
        <v>7</v>
      </c>
      <c r="B6" s="126"/>
      <c r="C6" s="126"/>
      <c r="D6" s="131">
        <f>Data!G27</f>
        <v>6.5</v>
      </c>
      <c r="F6" s="11" t="s">
        <v>8</v>
      </c>
      <c r="G6" s="12">
        <f>D34*-1</f>
        <v>3581086.5799228121</v>
      </c>
      <c r="I6" s="258"/>
      <c r="J6" s="258"/>
      <c r="K6" s="258"/>
      <c r="L6" s="258"/>
    </row>
    <row r="7" spans="1:12">
      <c r="A7" s="4" t="s">
        <v>9</v>
      </c>
      <c r="B7" s="126"/>
      <c r="C7" s="126"/>
      <c r="D7" s="131">
        <f>Data!E27</f>
        <v>15</v>
      </c>
      <c r="I7" s="258"/>
      <c r="J7" s="258"/>
      <c r="K7" s="258"/>
      <c r="L7" s="258"/>
    </row>
    <row r="8" spans="1:12">
      <c r="A8" s="4" t="s">
        <v>10</v>
      </c>
      <c r="B8" s="126"/>
      <c r="C8" s="126"/>
      <c r="D8" s="131">
        <v>2</v>
      </c>
      <c r="F8" s="321" t="s">
        <v>11</v>
      </c>
      <c r="G8" s="322"/>
      <c r="I8" s="288"/>
      <c r="J8" s="258"/>
      <c r="K8" s="258"/>
      <c r="L8" s="258"/>
    </row>
    <row r="9" spans="1:12">
      <c r="A9" s="4" t="s">
        <v>12</v>
      </c>
      <c r="B9" s="126"/>
      <c r="C9" s="126"/>
      <c r="D9" s="131">
        <f>(D7-D6)*D8</f>
        <v>17</v>
      </c>
      <c r="F9" s="6" t="s">
        <v>4</v>
      </c>
      <c r="G9" s="7">
        <f>D10</f>
        <v>5000000</v>
      </c>
      <c r="I9" s="289"/>
      <c r="J9" s="258"/>
      <c r="K9" s="258"/>
      <c r="L9" s="258"/>
    </row>
    <row r="10" spans="1:12">
      <c r="A10" s="4" t="s">
        <v>147</v>
      </c>
      <c r="B10" s="126"/>
      <c r="C10" s="126"/>
      <c r="D10" s="230">
        <f>Data!B27</f>
        <v>5000000</v>
      </c>
      <c r="F10" s="6" t="s">
        <v>31</v>
      </c>
      <c r="G10" s="9">
        <f>D20</f>
        <v>5000000</v>
      </c>
      <c r="I10" s="290"/>
      <c r="J10" s="290"/>
      <c r="K10" s="290"/>
      <c r="L10" s="258"/>
    </row>
    <row r="11" spans="1:12">
      <c r="A11" s="13" t="s">
        <v>15</v>
      </c>
      <c r="B11" s="14"/>
      <c r="C11" s="14"/>
      <c r="D11" s="231">
        <v>7.3800000000000004E-2</v>
      </c>
      <c r="F11" s="6" t="s">
        <v>6</v>
      </c>
      <c r="G11" s="9">
        <f>D41*-1</f>
        <v>8367933.0034933221</v>
      </c>
      <c r="I11" s="291"/>
      <c r="J11" s="291"/>
      <c r="K11" s="291"/>
      <c r="L11" s="258"/>
    </row>
    <row r="12" spans="1:12">
      <c r="F12" s="11" t="s">
        <v>8</v>
      </c>
      <c r="G12" s="12">
        <f>D45*-1</f>
        <v>2540222.6120562959</v>
      </c>
      <c r="I12" s="291"/>
      <c r="J12" s="291"/>
      <c r="K12" s="291"/>
      <c r="L12" s="258"/>
    </row>
    <row r="13" spans="1:12" ht="20.399999999999999">
      <c r="A13" s="354" t="s">
        <v>16</v>
      </c>
      <c r="B13" s="355"/>
      <c r="C13" s="355"/>
      <c r="D13" s="356"/>
      <c r="F13" s="16"/>
      <c r="I13" s="291"/>
      <c r="J13" s="291"/>
      <c r="K13" s="291"/>
      <c r="L13" s="258"/>
    </row>
    <row r="14" spans="1:12">
      <c r="A14" s="132" t="s">
        <v>17</v>
      </c>
      <c r="B14" s="133"/>
      <c r="C14" s="133"/>
      <c r="D14" s="131">
        <f>Data!H27</f>
        <v>2012</v>
      </c>
      <c r="F14" s="323" t="s">
        <v>109</v>
      </c>
      <c r="G14" s="324"/>
      <c r="H14" s="120"/>
      <c r="I14" s="291"/>
      <c r="J14" s="291"/>
      <c r="K14" s="291"/>
      <c r="L14" s="258"/>
    </row>
    <row r="15" spans="1:12">
      <c r="A15" s="135" t="s">
        <v>5</v>
      </c>
      <c r="B15" s="136"/>
      <c r="C15" s="136"/>
      <c r="D15" s="229">
        <f>Data!N27</f>
        <v>5.5E-2</v>
      </c>
      <c r="F15" s="121" t="s">
        <v>44</v>
      </c>
      <c r="G15" s="118" t="s">
        <v>45</v>
      </c>
      <c r="H15" s="58"/>
      <c r="I15" s="291"/>
      <c r="J15" s="291"/>
      <c r="K15" s="291"/>
      <c r="L15" s="258"/>
    </row>
    <row r="16" spans="1:12">
      <c r="A16" s="135" t="s">
        <v>7</v>
      </c>
      <c r="B16" s="136"/>
      <c r="C16" s="136"/>
      <c r="D16" s="131">
        <f>Data!O27</f>
        <v>12</v>
      </c>
      <c r="F16" s="119">
        <f>(1-((D5/D8)/D21))*(1-(((1/((1+D21)^(D8*D6)))-(1/((1+D21)^(D8*D7))))/(D21*(D8*D7-D8*D6))))</f>
        <v>-4.6697808490726106E-2</v>
      </c>
      <c r="G16" s="122">
        <f>(1-((D15/D18)/D21))*(1-(((1/((1+D21)^(D18*D16)))-(1/((1+D21)^(D18*D17))))/(D21*(D18*D17-D18*D16))))</f>
        <v>-6.4141711770328652E-2</v>
      </c>
      <c r="I16" s="291"/>
      <c r="J16" s="292"/>
      <c r="K16" s="292"/>
      <c r="L16" s="258"/>
    </row>
    <row r="17" spans="1:56">
      <c r="A17" s="135" t="s">
        <v>9</v>
      </c>
      <c r="B17" s="136"/>
      <c r="C17" s="136"/>
      <c r="D17" s="131">
        <f>Data!M27</f>
        <v>22</v>
      </c>
      <c r="I17" s="258"/>
      <c r="J17" s="258"/>
      <c r="K17" s="258"/>
      <c r="L17" s="258"/>
    </row>
    <row r="18" spans="1:56">
      <c r="A18" s="135" t="s">
        <v>10</v>
      </c>
      <c r="B18" s="136"/>
      <c r="C18" s="136"/>
      <c r="D18" s="137">
        <v>2</v>
      </c>
      <c r="I18" s="258"/>
      <c r="J18" s="258"/>
      <c r="K18" s="258"/>
      <c r="L18" s="258"/>
    </row>
    <row r="19" spans="1:56">
      <c r="A19" s="135" t="s">
        <v>12</v>
      </c>
      <c r="B19" s="136"/>
      <c r="C19" s="136"/>
      <c r="D19" s="137">
        <f>(D17-D16)*D18</f>
        <v>20</v>
      </c>
    </row>
    <row r="20" spans="1:56">
      <c r="A20" s="135" t="s">
        <v>262</v>
      </c>
      <c r="B20" s="136"/>
      <c r="C20" s="136"/>
      <c r="D20" s="232">
        <f>Data!L27</f>
        <v>5000000</v>
      </c>
    </row>
    <row r="21" spans="1:56">
      <c r="A21" s="196" t="s">
        <v>187</v>
      </c>
      <c r="B21" s="14"/>
      <c r="C21" s="14"/>
      <c r="D21" s="195">
        <f>(1.05^0.5)-1</f>
        <v>2.4695076595959931E-2</v>
      </c>
    </row>
    <row r="22" spans="1:56">
      <c r="AJ22" s="141"/>
    </row>
    <row r="23" spans="1:56" ht="62.4">
      <c r="A23" s="302" t="s">
        <v>43</v>
      </c>
      <c r="E23" s="53" t="s">
        <v>25</v>
      </c>
      <c r="P23" s="21" t="s">
        <v>207</v>
      </c>
      <c r="Q23" s="51"/>
      <c r="R23" s="51"/>
      <c r="V23" s="21" t="s">
        <v>21</v>
      </c>
      <c r="AI23" s="21" t="s">
        <v>149</v>
      </c>
      <c r="AJ23" s="51"/>
      <c r="AK23" s="51"/>
    </row>
    <row r="24" spans="1:56">
      <c r="A24" s="2" t="s">
        <v>23</v>
      </c>
      <c r="E24" s="139" t="s">
        <v>206</v>
      </c>
      <c r="F24" s="24">
        <v>39447</v>
      </c>
      <c r="G24" s="24">
        <v>39629</v>
      </c>
      <c r="H24" s="24">
        <v>39813</v>
      </c>
      <c r="I24" s="24">
        <v>39994</v>
      </c>
      <c r="J24" s="24">
        <v>40178</v>
      </c>
      <c r="K24" s="24">
        <v>40359</v>
      </c>
      <c r="L24" s="24">
        <v>40543</v>
      </c>
      <c r="M24" s="24">
        <v>40724</v>
      </c>
      <c r="N24" s="24">
        <v>40908</v>
      </c>
      <c r="O24" s="24">
        <v>41090</v>
      </c>
      <c r="P24" s="24">
        <v>41274</v>
      </c>
      <c r="Q24" s="24">
        <v>41455</v>
      </c>
      <c r="R24" s="24">
        <v>41639</v>
      </c>
      <c r="S24" s="24">
        <v>41820</v>
      </c>
      <c r="T24" s="24">
        <v>42004</v>
      </c>
      <c r="U24" s="24">
        <v>42185</v>
      </c>
      <c r="V24" s="24">
        <v>42369</v>
      </c>
      <c r="W24" s="24">
        <v>42551</v>
      </c>
      <c r="X24" s="24">
        <v>42735</v>
      </c>
      <c r="Y24" s="24">
        <v>42916</v>
      </c>
      <c r="Z24" s="24">
        <v>43100</v>
      </c>
      <c r="AA24" s="24">
        <v>43281</v>
      </c>
      <c r="AB24" s="24">
        <v>43465</v>
      </c>
      <c r="AC24" s="24">
        <v>43646</v>
      </c>
      <c r="AD24" s="24">
        <v>43830</v>
      </c>
      <c r="AE24" s="24">
        <v>44012</v>
      </c>
      <c r="AF24" s="24">
        <v>44196</v>
      </c>
      <c r="AG24" s="24">
        <v>44377</v>
      </c>
      <c r="AH24" s="24">
        <v>44561</v>
      </c>
      <c r="AI24" s="24">
        <v>44742</v>
      </c>
      <c r="AJ24" s="24"/>
      <c r="AK24" s="24"/>
      <c r="AL24" s="24"/>
      <c r="AM24" s="24"/>
      <c r="AN24" s="24"/>
      <c r="AO24" s="24"/>
      <c r="AP24" s="24"/>
      <c r="AQ24" s="24"/>
      <c r="AR24" s="24"/>
      <c r="AS24" s="24"/>
      <c r="AT24" s="24"/>
      <c r="AU24" s="24"/>
      <c r="AV24" s="24"/>
      <c r="AW24" s="24"/>
      <c r="AX24" s="24"/>
      <c r="AY24" s="24"/>
      <c r="AZ24" s="24"/>
      <c r="BA24" s="24"/>
      <c r="BB24" s="24"/>
      <c r="BC24" s="24"/>
      <c r="BD24" s="24"/>
    </row>
    <row r="25" spans="1:56">
      <c r="A25" s="2" t="s">
        <v>38</v>
      </c>
      <c r="F25">
        <v>14</v>
      </c>
      <c r="G25">
        <v>15</v>
      </c>
      <c r="H25">
        <v>16</v>
      </c>
      <c r="I25">
        <v>17</v>
      </c>
      <c r="J25">
        <v>18</v>
      </c>
      <c r="K25">
        <v>19</v>
      </c>
      <c r="L25">
        <v>20</v>
      </c>
      <c r="M25">
        <v>21</v>
      </c>
      <c r="N25">
        <v>22</v>
      </c>
      <c r="O25">
        <v>23</v>
      </c>
      <c r="P25">
        <v>24</v>
      </c>
      <c r="Q25">
        <v>25</v>
      </c>
      <c r="R25">
        <v>26</v>
      </c>
      <c r="S25">
        <v>27</v>
      </c>
      <c r="T25">
        <v>28</v>
      </c>
      <c r="U25">
        <v>29</v>
      </c>
      <c r="V25">
        <v>30</v>
      </c>
      <c r="W25">
        <v>31</v>
      </c>
      <c r="X25">
        <v>32</v>
      </c>
      <c r="Y25">
        <v>33</v>
      </c>
      <c r="Z25">
        <v>34</v>
      </c>
      <c r="AA25">
        <v>35</v>
      </c>
      <c r="AB25">
        <v>36</v>
      </c>
      <c r="AC25">
        <v>37</v>
      </c>
      <c r="AD25">
        <v>38</v>
      </c>
      <c r="AE25">
        <v>39</v>
      </c>
      <c r="AF25">
        <v>40</v>
      </c>
      <c r="AG25">
        <v>41</v>
      </c>
      <c r="AH25">
        <v>42</v>
      </c>
      <c r="AI25">
        <v>43</v>
      </c>
    </row>
    <row r="26" spans="1:56">
      <c r="A26" s="2" t="s">
        <v>26</v>
      </c>
      <c r="F26" s="138">
        <f>1/((1+($D$11/$D$8))^(F25))</f>
        <v>0.60212097654339292</v>
      </c>
      <c r="G26" s="138">
        <f t="shared" ref="G26:AI26" si="0">1/((1+($D$11/$D$8))^(G25))</f>
        <v>0.58069339043629375</v>
      </c>
      <c r="H26" s="138">
        <f t="shared" si="0"/>
        <v>0.56002834452338091</v>
      </c>
      <c r="I26" s="138">
        <f t="shared" si="0"/>
        <v>0.54009870240464941</v>
      </c>
      <c r="J26" s="138">
        <f t="shared" si="0"/>
        <v>0.52087829337896563</v>
      </c>
      <c r="K26" s="138">
        <f t="shared" si="0"/>
        <v>0.50234187807789143</v>
      </c>
      <c r="L26" s="138">
        <f t="shared" si="0"/>
        <v>0.48446511532249154</v>
      </c>
      <c r="M26" s="138">
        <f t="shared" si="0"/>
        <v>0.46722453015960219</v>
      </c>
      <c r="N26" s="138">
        <f t="shared" si="0"/>
        <v>0.450597483035589</v>
      </c>
      <c r="O26" s="138">
        <f t="shared" si="0"/>
        <v>0.43456214006711258</v>
      </c>
      <c r="P26" s="138">
        <f t="shared" si="0"/>
        <v>0.41909744436986451</v>
      </c>
      <c r="Q26" s="138">
        <f t="shared" si="0"/>
        <v>0.40418308840762329</v>
      </c>
      <c r="R26" s="138">
        <f t="shared" si="0"/>
        <v>0.38979948732531905</v>
      </c>
      <c r="S26" s="138">
        <f t="shared" si="0"/>
        <v>0.37592775323109173</v>
      </c>
      <c r="T26" s="138">
        <f t="shared" si="0"/>
        <v>0.36254967039356906</v>
      </c>
      <c r="U26" s="138">
        <f t="shared" si="0"/>
        <v>0.34964767132179486</v>
      </c>
      <c r="V26" s="138">
        <f t="shared" si="0"/>
        <v>0.33720481369639782</v>
      </c>
      <c r="W26" s="138">
        <f t="shared" si="0"/>
        <v>0.32520475812170685</v>
      </c>
      <c r="X26" s="138">
        <f t="shared" si="0"/>
        <v>0.31363174666959864</v>
      </c>
      <c r="Y26" s="138">
        <f t="shared" si="0"/>
        <v>0.30247058218690198</v>
      </c>
      <c r="Z26" s="138">
        <f t="shared" si="0"/>
        <v>0.29170660833918605</v>
      </c>
      <c r="AA26" s="138">
        <f t="shared" si="0"/>
        <v>0.2813256903647276</v>
      </c>
      <c r="AB26" s="138">
        <f t="shared" si="0"/>
        <v>0.27131419651338373</v>
      </c>
      <c r="AC26" s="138">
        <f t="shared" si="0"/>
        <v>0.26165898014599648</v>
      </c>
      <c r="AD26" s="138">
        <f t="shared" si="0"/>
        <v>0.25234736247082312</v>
      </c>
      <c r="AE26" s="138">
        <f t="shared" si="0"/>
        <v>0.24336711589432264</v>
      </c>
      <c r="AF26" s="138">
        <f t="shared" si="0"/>
        <v>0.23470644796443499</v>
      </c>
      <c r="AG26" s="138">
        <f t="shared" si="0"/>
        <v>0.22635398588526856</v>
      </c>
      <c r="AH26" s="138">
        <f t="shared" si="0"/>
        <v>0.21829876158286105</v>
      </c>
      <c r="AI26" s="138">
        <f t="shared" si="0"/>
        <v>0.21053019730240236</v>
      </c>
      <c r="AJ26" s="138"/>
      <c r="AK26" s="138"/>
      <c r="AL26" s="138"/>
      <c r="AM26" s="138"/>
      <c r="AN26" s="138"/>
      <c r="AO26" s="138"/>
      <c r="AP26" s="138"/>
      <c r="AQ26" s="138"/>
      <c r="AR26" s="138"/>
      <c r="AS26" s="138"/>
      <c r="AT26" s="138"/>
      <c r="AU26" s="138"/>
      <c r="AV26" s="138"/>
      <c r="AW26" s="138"/>
      <c r="AX26" s="138"/>
      <c r="AY26" s="138"/>
      <c r="AZ26" s="138"/>
      <c r="BA26" s="138"/>
      <c r="BB26" s="138"/>
    </row>
    <row r="28" spans="1:56" s="32" customFormat="1" ht="21">
      <c r="A28" s="29" t="s">
        <v>27</v>
      </c>
    </row>
    <row r="29" spans="1:56">
      <c r="A29" s="2" t="s">
        <v>37</v>
      </c>
      <c r="F29">
        <v>1</v>
      </c>
      <c r="G29">
        <v>2</v>
      </c>
      <c r="H29">
        <v>3</v>
      </c>
      <c r="I29">
        <v>4</v>
      </c>
      <c r="J29">
        <v>5</v>
      </c>
      <c r="K29">
        <v>6</v>
      </c>
      <c r="L29">
        <v>7</v>
      </c>
      <c r="M29">
        <v>8</v>
      </c>
      <c r="N29">
        <v>9</v>
      </c>
      <c r="O29">
        <v>10</v>
      </c>
      <c r="P29">
        <v>11</v>
      </c>
      <c r="Q29">
        <v>12</v>
      </c>
      <c r="R29">
        <v>13</v>
      </c>
      <c r="S29">
        <v>14</v>
      </c>
      <c r="T29">
        <v>15</v>
      </c>
      <c r="U29">
        <v>16</v>
      </c>
      <c r="V29">
        <v>17</v>
      </c>
    </row>
    <row r="30" spans="1:56">
      <c r="A30" s="27"/>
      <c r="B30" s="26" t="s">
        <v>28</v>
      </c>
      <c r="C30" s="27"/>
      <c r="D30" s="47">
        <f>SUM(F30:AI30)</f>
        <v>-7823567.6438516751</v>
      </c>
      <c r="E30" s="71"/>
      <c r="F30" s="236">
        <f>PMT($D$5,$D$9,$D$10)</f>
        <v>-460209.86140303971</v>
      </c>
      <c r="G30" s="71">
        <f t="shared" ref="G30:V30" si="1">PMT($D$5,$D$9,$D$10)</f>
        <v>-460209.86140303971</v>
      </c>
      <c r="H30" s="71">
        <f t="shared" si="1"/>
        <v>-460209.86140303971</v>
      </c>
      <c r="I30" s="71">
        <f t="shared" si="1"/>
        <v>-460209.86140303971</v>
      </c>
      <c r="J30" s="71">
        <f t="shared" si="1"/>
        <v>-460209.86140303971</v>
      </c>
      <c r="K30" s="71">
        <f t="shared" si="1"/>
        <v>-460209.86140303971</v>
      </c>
      <c r="L30" s="71">
        <f t="shared" si="1"/>
        <v>-460209.86140303971</v>
      </c>
      <c r="M30" s="71">
        <f t="shared" si="1"/>
        <v>-460209.86140303971</v>
      </c>
      <c r="N30" s="71">
        <f t="shared" si="1"/>
        <v>-460209.86140303971</v>
      </c>
      <c r="O30" s="71">
        <f t="shared" si="1"/>
        <v>-460209.86140303971</v>
      </c>
      <c r="P30" s="71">
        <f t="shared" si="1"/>
        <v>-460209.86140303971</v>
      </c>
      <c r="Q30" s="71">
        <f t="shared" si="1"/>
        <v>-460209.86140303971</v>
      </c>
      <c r="R30" s="71">
        <f t="shared" si="1"/>
        <v>-460209.86140303971</v>
      </c>
      <c r="S30" s="71">
        <f t="shared" si="1"/>
        <v>-460209.86140303971</v>
      </c>
      <c r="T30" s="71">
        <f t="shared" si="1"/>
        <v>-460209.86140303971</v>
      </c>
      <c r="U30" s="71">
        <f t="shared" si="1"/>
        <v>-460209.86140303971</v>
      </c>
      <c r="V30" s="71">
        <f t="shared" si="1"/>
        <v>-460209.86140303971</v>
      </c>
      <c r="W30" s="71"/>
    </row>
    <row r="31" spans="1:56">
      <c r="A31" s="27"/>
      <c r="B31" s="27"/>
      <c r="C31" s="27" t="s">
        <v>29</v>
      </c>
      <c r="D31" s="47">
        <f t="shared" ref="D31:D36" si="2">SUM(F31:AI31)</f>
        <v>-5000000</v>
      </c>
      <c r="E31" s="71"/>
      <c r="F31" s="47">
        <f>PPMT($D$5,F$29,$D$9,$D$10)</f>
        <v>-185209.86140303974</v>
      </c>
      <c r="G31" s="71">
        <f t="shared" ref="G31:V31" si="3">PPMT($D$5,G$29,$D$9,$D$10)</f>
        <v>-195396.40378020692</v>
      </c>
      <c r="H31" s="71">
        <f t="shared" si="3"/>
        <v>-206143.20598811831</v>
      </c>
      <c r="I31" s="71">
        <f t="shared" si="3"/>
        <v>-217481.08231746481</v>
      </c>
      <c r="J31" s="71">
        <f t="shared" si="3"/>
        <v>-229442.54184492538</v>
      </c>
      <c r="K31" s="71">
        <f t="shared" si="3"/>
        <v>-242061.88164639624</v>
      </c>
      <c r="L31" s="71">
        <f t="shared" si="3"/>
        <v>-255375.28513694805</v>
      </c>
      <c r="M31" s="71">
        <f t="shared" si="3"/>
        <v>-269420.92581948021</v>
      </c>
      <c r="N31" s="71">
        <f t="shared" si="3"/>
        <v>-284239.07673955162</v>
      </c>
      <c r="O31" s="71">
        <f t="shared" si="3"/>
        <v>-299872.2259602269</v>
      </c>
      <c r="P31" s="71">
        <f t="shared" si="3"/>
        <v>-316365.19838803943</v>
      </c>
      <c r="Q31" s="71">
        <f t="shared" si="3"/>
        <v>-333765.2842993816</v>
      </c>
      <c r="R31" s="71">
        <f t="shared" si="3"/>
        <v>-352122.37493584759</v>
      </c>
      <c r="S31" s="71">
        <f t="shared" si="3"/>
        <v>-371489.10555731918</v>
      </c>
      <c r="T31" s="71">
        <f t="shared" si="3"/>
        <v>-391921.00636297179</v>
      </c>
      <c r="U31" s="71">
        <f t="shared" si="3"/>
        <v>-413476.66171293525</v>
      </c>
      <c r="V31" s="71">
        <f t="shared" si="3"/>
        <v>-436217.87810714665</v>
      </c>
      <c r="W31" s="71"/>
    </row>
    <row r="32" spans="1:56">
      <c r="A32" s="27"/>
      <c r="B32" s="27"/>
      <c r="C32" s="27" t="s">
        <v>30</v>
      </c>
      <c r="D32" s="47">
        <f t="shared" si="2"/>
        <v>-2823567.6438516751</v>
      </c>
      <c r="E32" s="71"/>
      <c r="F32" s="47">
        <f>IPMT($D$5,F$29,$D$9,$D$10)</f>
        <v>-275000</v>
      </c>
      <c r="G32" s="71">
        <f t="shared" ref="G32:V32" si="4">IPMT($D$5,G$29,$D$9,$D$10)</f>
        <v>-264813.45762283279</v>
      </c>
      <c r="H32" s="71">
        <f t="shared" si="4"/>
        <v>-254066.65541492144</v>
      </c>
      <c r="I32" s="71">
        <f t="shared" si="4"/>
        <v>-242728.77908557493</v>
      </c>
      <c r="J32" s="71">
        <f t="shared" si="4"/>
        <v>-230767.31955811434</v>
      </c>
      <c r="K32" s="71">
        <f t="shared" si="4"/>
        <v>-218147.97975664341</v>
      </c>
      <c r="L32" s="71">
        <f t="shared" si="4"/>
        <v>-204834.57626609164</v>
      </c>
      <c r="M32" s="71">
        <f t="shared" si="4"/>
        <v>-190788.93558355951</v>
      </c>
      <c r="N32" s="71">
        <f t="shared" si="4"/>
        <v>-175970.7846634881</v>
      </c>
      <c r="O32" s="71">
        <f t="shared" si="4"/>
        <v>-160337.63544281275</v>
      </c>
      <c r="P32" s="71">
        <f t="shared" si="4"/>
        <v>-143844.66301500026</v>
      </c>
      <c r="Q32" s="71">
        <f t="shared" si="4"/>
        <v>-126444.57710365813</v>
      </c>
      <c r="R32" s="71">
        <f t="shared" si="4"/>
        <v>-108087.48646719214</v>
      </c>
      <c r="S32" s="71">
        <f t="shared" si="4"/>
        <v>-88720.755845720501</v>
      </c>
      <c r="T32" s="71">
        <f t="shared" si="4"/>
        <v>-68288.855040067952</v>
      </c>
      <c r="U32" s="71">
        <f t="shared" si="4"/>
        <v>-46733.199690104506</v>
      </c>
      <c r="V32" s="71">
        <f t="shared" si="4"/>
        <v>-23991.983295893064</v>
      </c>
      <c r="W32" s="71"/>
    </row>
    <row r="33" spans="1:54">
      <c r="A33" s="27"/>
      <c r="B33" s="33" t="s">
        <v>31</v>
      </c>
      <c r="C33" s="33"/>
      <c r="D33" s="47"/>
      <c r="E33" s="71">
        <f>D10</f>
        <v>5000000</v>
      </c>
      <c r="F33" s="71">
        <f>E33+F31</f>
        <v>4814790.1385969603</v>
      </c>
      <c r="G33" s="71">
        <f t="shared" ref="G33:V33" si="5">F33+G31</f>
        <v>4619393.7348167533</v>
      </c>
      <c r="H33" s="71">
        <f t="shared" si="5"/>
        <v>4413250.5288286349</v>
      </c>
      <c r="I33" s="71">
        <f t="shared" si="5"/>
        <v>4195769.4465111699</v>
      </c>
      <c r="J33" s="71">
        <f t="shared" si="5"/>
        <v>3966326.9046662445</v>
      </c>
      <c r="K33" s="71">
        <f t="shared" si="5"/>
        <v>3724265.0230198484</v>
      </c>
      <c r="L33" s="71">
        <f t="shared" si="5"/>
        <v>3468889.7378829005</v>
      </c>
      <c r="M33" s="71">
        <f t="shared" si="5"/>
        <v>3199468.8120634202</v>
      </c>
      <c r="N33" s="71">
        <f t="shared" si="5"/>
        <v>2915229.7353238687</v>
      </c>
      <c r="O33" s="71">
        <f t="shared" si="5"/>
        <v>2615357.509363642</v>
      </c>
      <c r="P33" s="71">
        <f t="shared" si="5"/>
        <v>2298992.3109756024</v>
      </c>
      <c r="Q33" s="71">
        <f t="shared" si="5"/>
        <v>1965227.0266762208</v>
      </c>
      <c r="R33" s="71">
        <f t="shared" si="5"/>
        <v>1613104.6517403731</v>
      </c>
      <c r="S33" s="71">
        <f t="shared" si="5"/>
        <v>1241615.5461830539</v>
      </c>
      <c r="T33" s="71">
        <f t="shared" si="5"/>
        <v>849694.53982008202</v>
      </c>
      <c r="U33" s="71">
        <f t="shared" si="5"/>
        <v>436217.87810714677</v>
      </c>
      <c r="V33" s="71">
        <f t="shared" si="5"/>
        <v>0</v>
      </c>
      <c r="W33" s="71"/>
    </row>
    <row r="34" spans="1:54">
      <c r="A34" s="27"/>
      <c r="B34" s="26" t="s">
        <v>32</v>
      </c>
      <c r="C34" s="27"/>
      <c r="D34" s="47">
        <f t="shared" si="2"/>
        <v>-3581086.5799228121</v>
      </c>
      <c r="E34" s="71"/>
      <c r="F34" s="71">
        <f>F30*F26</f>
        <v>-277102.0111628978</v>
      </c>
      <c r="G34" s="71">
        <f t="shared" ref="G34:V34" si="6">G30*G26</f>
        <v>-267240.82473034796</v>
      </c>
      <c r="H34" s="71">
        <f t="shared" si="6"/>
        <v>-257730.5668148789</v>
      </c>
      <c r="I34" s="71">
        <f t="shared" si="6"/>
        <v>-248558.74897760531</v>
      </c>
      <c r="J34" s="71">
        <f t="shared" si="6"/>
        <v>-239713.32720378562</v>
      </c>
      <c r="K34" s="71">
        <f t="shared" si="6"/>
        <v>-231182.6860871691</v>
      </c>
      <c r="L34" s="71">
        <f t="shared" si="6"/>
        <v>-222955.62357717147</v>
      </c>
      <c r="M34" s="71">
        <f t="shared" si="6"/>
        <v>-215021.33626885086</v>
      </c>
      <c r="N34" s="71">
        <f t="shared" si="6"/>
        <v>-207369.40521636695</v>
      </c>
      <c r="O34" s="71">
        <f t="shared" si="6"/>
        <v>-199989.78225129421</v>
      </c>
      <c r="P34" s="71">
        <f t="shared" si="6"/>
        <v>-192872.7767878235</v>
      </c>
      <c r="Q34" s="71">
        <f t="shared" si="6"/>
        <v>-186009.04309752487</v>
      </c>
      <c r="R34" s="71">
        <f t="shared" si="6"/>
        <v>-179389.56803696102</v>
      </c>
      <c r="S34" s="71">
        <f t="shared" si="6"/>
        <v>-173005.65921203684</v>
      </c>
      <c r="T34" s="71">
        <f t="shared" si="6"/>
        <v>-166848.93356354214</v>
      </c>
      <c r="U34" s="71">
        <f t="shared" si="6"/>
        <v>-160911.30635889879</v>
      </c>
      <c r="V34" s="71">
        <f t="shared" si="6"/>
        <v>-155184.98057565707</v>
      </c>
      <c r="W34" s="71"/>
    </row>
    <row r="35" spans="1:54">
      <c r="A35" s="27"/>
      <c r="B35" s="27"/>
      <c r="C35" s="27" t="s">
        <v>29</v>
      </c>
      <c r="D35" s="47">
        <f t="shared" si="2"/>
        <v>-2185148.9701522314</v>
      </c>
      <c r="E35" s="71"/>
      <c r="F35" s="71">
        <f>F31*F26</f>
        <v>-111518.74261346474</v>
      </c>
      <c r="G35" s="71">
        <f t="shared" ref="G35:V35" si="7">G31*G26</f>
        <v>-113465.4001901874</v>
      </c>
      <c r="H35" s="71">
        <f t="shared" si="7"/>
        <v>-115446.03838426819</v>
      </c>
      <c r="I35" s="71">
        <f t="shared" si="7"/>
        <v>-117461.25035722149</v>
      </c>
      <c r="J35" s="71">
        <f t="shared" si="7"/>
        <v>-119511.63962471664</v>
      </c>
      <c r="K35" s="71">
        <f t="shared" si="7"/>
        <v>-121597.82023731897</v>
      </c>
      <c r="L35" s="71">
        <f t="shared" si="7"/>
        <v>-123720.41696438569</v>
      </c>
      <c r="M35" s="71">
        <f t="shared" si="7"/>
        <v>-125880.06548117168</v>
      </c>
      <c r="N35" s="71">
        <f t="shared" si="7"/>
        <v>-128077.41255920159</v>
      </c>
      <c r="O35" s="71">
        <f t="shared" si="7"/>
        <v>-130313.11625996495</v>
      </c>
      <c r="P35" s="71">
        <f t="shared" si="7"/>
        <v>-132587.8461319925</v>
      </c>
      <c r="Q35" s="71">
        <f t="shared" si="7"/>
        <v>-134902.28341137248</v>
      </c>
      <c r="R35" s="71">
        <f t="shared" si="7"/>
        <v>-137257.12122576716</v>
      </c>
      <c r="S35" s="71">
        <f t="shared" si="7"/>
        <v>-139653.06480199087</v>
      </c>
      <c r="T35" s="71">
        <f t="shared" si="7"/>
        <v>-142090.8316772113</v>
      </c>
      <c r="U35" s="71">
        <f t="shared" si="7"/>
        <v>-144571.15191383736</v>
      </c>
      <c r="V35" s="71">
        <f t="shared" si="7"/>
        <v>-147094.76831815837</v>
      </c>
      <c r="W35" s="71"/>
    </row>
    <row r="36" spans="1:54">
      <c r="A36" s="27"/>
      <c r="B36" s="27"/>
      <c r="C36" s="27" t="s">
        <v>30</v>
      </c>
      <c r="D36" s="47">
        <f t="shared" si="2"/>
        <v>-1395937.6097705811</v>
      </c>
      <c r="E36" s="71"/>
      <c r="F36" s="71">
        <f>F32*F26</f>
        <v>-165583.26854943307</v>
      </c>
      <c r="G36" s="71">
        <f t="shared" ref="G36:V36" si="8">G32*G26</f>
        <v>-153775.42454016057</v>
      </c>
      <c r="H36" s="71">
        <f t="shared" si="8"/>
        <v>-142284.52843061072</v>
      </c>
      <c r="I36" s="71">
        <f t="shared" si="8"/>
        <v>-131097.49862038382</v>
      </c>
      <c r="J36" s="71">
        <f t="shared" si="8"/>
        <v>-120201.687579069</v>
      </c>
      <c r="K36" s="71">
        <f t="shared" si="8"/>
        <v>-109584.86584985009</v>
      </c>
      <c r="L36" s="71">
        <f t="shared" si="8"/>
        <v>-99235.206612785769</v>
      </c>
      <c r="M36" s="71">
        <f t="shared" si="8"/>
        <v>-89141.270787679197</v>
      </c>
      <c r="N36" s="71">
        <f t="shared" si="8"/>
        <v>-79291.992657165363</v>
      </c>
      <c r="O36" s="71">
        <f t="shared" si="8"/>
        <v>-69676.665991329224</v>
      </c>
      <c r="P36" s="71">
        <f t="shared" si="8"/>
        <v>-60284.930655830976</v>
      </c>
      <c r="Q36" s="71">
        <f t="shared" si="8"/>
        <v>-51106.759686152393</v>
      </c>
      <c r="R36" s="71">
        <f t="shared" si="8"/>
        <v>-42132.446811193855</v>
      </c>
      <c r="S36" s="71">
        <f t="shared" si="8"/>
        <v>-33352.594410045953</v>
      </c>
      <c r="T36" s="71">
        <f t="shared" si="8"/>
        <v>-24758.101886330853</v>
      </c>
      <c r="U36" s="71">
        <f t="shared" si="8"/>
        <v>-16340.154445061466</v>
      </c>
      <c r="V36" s="71">
        <f t="shared" si="8"/>
        <v>-8090.2122574987088</v>
      </c>
      <c r="W36" s="71"/>
    </row>
    <row r="38" spans="1:54" s="32" customFormat="1" ht="21">
      <c r="A38" s="29" t="s">
        <v>33</v>
      </c>
      <c r="B38" s="30"/>
      <c r="C38" s="30"/>
      <c r="D38" s="30"/>
    </row>
    <row r="39" spans="1:54" s="40" customFormat="1">
      <c r="A39" s="36" t="s">
        <v>150</v>
      </c>
      <c r="B39" s="44"/>
      <c r="C39" s="37"/>
      <c r="D39" s="37"/>
    </row>
    <row r="40" spans="1:54" s="141" customFormat="1">
      <c r="A40" s="140" t="s">
        <v>24</v>
      </c>
      <c r="C40" s="142"/>
      <c r="D40" s="142"/>
      <c r="E40" s="141" t="s">
        <v>25</v>
      </c>
      <c r="F40" s="141" t="s">
        <v>25</v>
      </c>
      <c r="G40" s="141" t="s">
        <v>25</v>
      </c>
      <c r="H40" s="141" t="s">
        <v>25</v>
      </c>
      <c r="I40" s="141" t="s">
        <v>25</v>
      </c>
      <c r="J40" s="141" t="s">
        <v>25</v>
      </c>
      <c r="K40" s="141" t="s">
        <v>25</v>
      </c>
      <c r="L40" s="141" t="s">
        <v>25</v>
      </c>
      <c r="M40" s="141" t="s">
        <v>25</v>
      </c>
      <c r="N40" s="141" t="s">
        <v>25</v>
      </c>
      <c r="O40" s="141" t="s">
        <v>25</v>
      </c>
      <c r="P40" s="141">
        <v>1</v>
      </c>
      <c r="Q40" s="141">
        <v>2</v>
      </c>
      <c r="R40" s="141">
        <v>3</v>
      </c>
      <c r="S40" s="141">
        <v>4</v>
      </c>
      <c r="T40" s="141">
        <v>5</v>
      </c>
      <c r="U40" s="141">
        <v>6</v>
      </c>
      <c r="V40" s="141">
        <v>7</v>
      </c>
      <c r="W40" s="141">
        <v>8</v>
      </c>
      <c r="X40" s="141">
        <v>9</v>
      </c>
      <c r="Y40" s="141">
        <v>10</v>
      </c>
      <c r="Z40" s="141">
        <v>11</v>
      </c>
      <c r="AA40" s="141">
        <v>12</v>
      </c>
      <c r="AB40" s="141">
        <v>13</v>
      </c>
      <c r="AC40" s="141">
        <v>14</v>
      </c>
      <c r="AD40" s="141">
        <v>15</v>
      </c>
      <c r="AE40" s="141">
        <v>16</v>
      </c>
      <c r="AF40" s="141">
        <v>17</v>
      </c>
      <c r="AG40" s="141">
        <v>18</v>
      </c>
      <c r="AH40" s="141">
        <v>19</v>
      </c>
      <c r="AI40" s="141">
        <v>20</v>
      </c>
    </row>
    <row r="41" spans="1:54">
      <c r="A41" s="41"/>
      <c r="B41" s="26" t="s">
        <v>28</v>
      </c>
      <c r="C41" s="27"/>
      <c r="D41" s="71">
        <f>SUM(F41:AI41)</f>
        <v>-8367933.0034933221</v>
      </c>
      <c r="P41" s="47">
        <f>PMT($D$15,$D$19,$D$20)</f>
        <v>-418396.65017466596</v>
      </c>
      <c r="Q41" s="71">
        <f t="shared" ref="Q41:AI41" si="9">PMT($D$15,$D$19,$D$20)</f>
        <v>-418396.65017466596</v>
      </c>
      <c r="R41" s="71">
        <f t="shared" si="9"/>
        <v>-418396.65017466596</v>
      </c>
      <c r="S41" s="71">
        <f t="shared" si="9"/>
        <v>-418396.65017466596</v>
      </c>
      <c r="T41" s="71">
        <f t="shared" si="9"/>
        <v>-418396.65017466596</v>
      </c>
      <c r="U41" s="71">
        <f t="shared" si="9"/>
        <v>-418396.65017466596</v>
      </c>
      <c r="V41" s="71">
        <f t="shared" si="9"/>
        <v>-418396.65017466596</v>
      </c>
      <c r="W41" s="71">
        <f t="shared" si="9"/>
        <v>-418396.65017466596</v>
      </c>
      <c r="X41" s="71">
        <f t="shared" si="9"/>
        <v>-418396.65017466596</v>
      </c>
      <c r="Y41" s="71">
        <f t="shared" si="9"/>
        <v>-418396.65017466596</v>
      </c>
      <c r="Z41" s="71">
        <f t="shared" si="9"/>
        <v>-418396.65017466596</v>
      </c>
      <c r="AA41" s="71">
        <f t="shared" si="9"/>
        <v>-418396.65017466596</v>
      </c>
      <c r="AB41" s="71">
        <f t="shared" si="9"/>
        <v>-418396.65017466596</v>
      </c>
      <c r="AC41" s="71">
        <f t="shared" si="9"/>
        <v>-418396.65017466596</v>
      </c>
      <c r="AD41" s="71">
        <f t="shared" si="9"/>
        <v>-418396.65017466596</v>
      </c>
      <c r="AE41" s="71">
        <f t="shared" si="9"/>
        <v>-418396.65017466596</v>
      </c>
      <c r="AF41" s="71">
        <f t="shared" si="9"/>
        <v>-418396.65017466596</v>
      </c>
      <c r="AG41" s="71">
        <f t="shared" si="9"/>
        <v>-418396.65017466596</v>
      </c>
      <c r="AH41" s="71">
        <f t="shared" si="9"/>
        <v>-418396.65017466596</v>
      </c>
      <c r="AI41" s="71">
        <f t="shared" si="9"/>
        <v>-418396.65017466596</v>
      </c>
      <c r="AK41" s="71"/>
      <c r="AL41" s="71"/>
      <c r="AM41" s="71"/>
      <c r="AN41" s="71"/>
      <c r="AO41" s="71"/>
      <c r="AP41" s="71"/>
      <c r="AQ41" s="71"/>
      <c r="AR41" s="71"/>
      <c r="AS41" s="71"/>
      <c r="AT41" s="71"/>
      <c r="AU41" s="71"/>
      <c r="AV41" s="71"/>
      <c r="AW41" s="71"/>
      <c r="AX41" s="71"/>
      <c r="AY41" s="71"/>
      <c r="AZ41" s="71"/>
    </row>
    <row r="42" spans="1:54">
      <c r="A42" s="41"/>
      <c r="B42" s="27"/>
      <c r="C42" s="27" t="s">
        <v>29</v>
      </c>
      <c r="D42" s="71">
        <f t="shared" ref="D42:D47" si="10">SUM(F42:AI42)</f>
        <v>-5000000.0000000009</v>
      </c>
      <c r="P42" s="47">
        <f>PPMT($D$15,P$40,$D$19,$D$20)</f>
        <v>-143396.65017466593</v>
      </c>
      <c r="Q42" s="71">
        <f t="shared" ref="Q42:AI42" si="11">PPMT($D$15,Q$40,$D$19,$D$20)</f>
        <v>-151283.46593427256</v>
      </c>
      <c r="R42" s="71">
        <f t="shared" si="11"/>
        <v>-159604.05656065751</v>
      </c>
      <c r="S42" s="71">
        <f t="shared" si="11"/>
        <v>-168382.27967149371</v>
      </c>
      <c r="T42" s="71">
        <f t="shared" si="11"/>
        <v>-177643.30505342584</v>
      </c>
      <c r="U42" s="71">
        <f t="shared" si="11"/>
        <v>-187413.68683136426</v>
      </c>
      <c r="V42" s="71">
        <f t="shared" si="11"/>
        <v>-197721.43960708933</v>
      </c>
      <c r="W42" s="71">
        <f t="shared" si="11"/>
        <v>-208596.11878547922</v>
      </c>
      <c r="X42" s="71">
        <f t="shared" si="11"/>
        <v>-220068.90531868057</v>
      </c>
      <c r="Y42" s="71">
        <f t="shared" si="11"/>
        <v>-232172.69511120801</v>
      </c>
      <c r="Z42" s="71">
        <f t="shared" si="11"/>
        <v>-244942.19334232443</v>
      </c>
      <c r="AA42" s="71">
        <f t="shared" si="11"/>
        <v>-258414.01397615229</v>
      </c>
      <c r="AB42" s="71">
        <f t="shared" si="11"/>
        <v>-272626.7847448407</v>
      </c>
      <c r="AC42" s="71">
        <f t="shared" si="11"/>
        <v>-287621.25790580688</v>
      </c>
      <c r="AD42" s="71">
        <f t="shared" si="11"/>
        <v>-303440.42709062633</v>
      </c>
      <c r="AE42" s="71">
        <f t="shared" si="11"/>
        <v>-320129.65058061067</v>
      </c>
      <c r="AF42" s="71">
        <f t="shared" si="11"/>
        <v>-337736.78136254428</v>
      </c>
      <c r="AG42" s="71">
        <f t="shared" si="11"/>
        <v>-356312.30433748424</v>
      </c>
      <c r="AH42" s="71">
        <f t="shared" si="11"/>
        <v>-375909.48107604589</v>
      </c>
      <c r="AI42" s="71">
        <f t="shared" si="11"/>
        <v>-396584.50253522838</v>
      </c>
      <c r="AK42" s="71"/>
      <c r="AL42" s="71"/>
      <c r="AM42" s="71"/>
      <c r="AN42" s="71"/>
      <c r="AO42" s="71"/>
      <c r="AP42" s="71"/>
      <c r="AQ42" s="71"/>
      <c r="AR42" s="71"/>
      <c r="AS42" s="71"/>
      <c r="AT42" s="71"/>
      <c r="AU42" s="71"/>
      <c r="AV42" s="71"/>
      <c r="AW42" s="71"/>
      <c r="AX42" s="71"/>
      <c r="AY42" s="71"/>
      <c r="AZ42" s="71"/>
      <c r="BA42" s="47"/>
      <c r="BB42" s="47"/>
    </row>
    <row r="43" spans="1:54">
      <c r="A43" s="41"/>
      <c r="B43" s="27"/>
      <c r="C43" s="27" t="s">
        <v>30</v>
      </c>
      <c r="D43" s="71">
        <f t="shared" si="10"/>
        <v>-3367933.0034933179</v>
      </c>
      <c r="P43" s="47">
        <f>IPMT($D$15,P$40,$D$19,$D$20)</f>
        <v>-275000</v>
      </c>
      <c r="Q43" s="71">
        <f t="shared" ref="Q43:AI43" si="12">IPMT($D$15,Q$40,$D$19,$D$20)</f>
        <v>-267113.18424039334</v>
      </c>
      <c r="R43" s="71">
        <f t="shared" si="12"/>
        <v>-258792.59361400845</v>
      </c>
      <c r="S43" s="71">
        <f t="shared" si="12"/>
        <v>-250014.37050317231</v>
      </c>
      <c r="T43" s="71">
        <f t="shared" si="12"/>
        <v>-240753.3451212401</v>
      </c>
      <c r="U43" s="71">
        <f t="shared" si="12"/>
        <v>-230982.96334330173</v>
      </c>
      <c r="V43" s="71">
        <f t="shared" si="12"/>
        <v>-220675.21056757669</v>
      </c>
      <c r="W43" s="71">
        <f t="shared" si="12"/>
        <v>-209800.53138918674</v>
      </c>
      <c r="X43" s="71">
        <f t="shared" si="12"/>
        <v>-198327.74485598537</v>
      </c>
      <c r="Y43" s="71">
        <f t="shared" si="12"/>
        <v>-186223.95506345795</v>
      </c>
      <c r="Z43" s="71">
        <f t="shared" si="12"/>
        <v>-173454.45683234153</v>
      </c>
      <c r="AA43" s="71">
        <f t="shared" si="12"/>
        <v>-159982.6361985137</v>
      </c>
      <c r="AB43" s="71">
        <f t="shared" si="12"/>
        <v>-145769.86542982529</v>
      </c>
      <c r="AC43" s="71">
        <f t="shared" si="12"/>
        <v>-130775.39226885905</v>
      </c>
      <c r="AD43" s="71">
        <f t="shared" si="12"/>
        <v>-114956.22308403971</v>
      </c>
      <c r="AE43" s="71">
        <f t="shared" si="12"/>
        <v>-98266.999594055247</v>
      </c>
      <c r="AF43" s="71">
        <f t="shared" si="12"/>
        <v>-80659.868812121655</v>
      </c>
      <c r="AG43" s="71">
        <f t="shared" si="12"/>
        <v>-62084.345837181725</v>
      </c>
      <c r="AH43" s="71">
        <f t="shared" si="12"/>
        <v>-42487.169098620085</v>
      </c>
      <c r="AI43" s="71">
        <f t="shared" si="12"/>
        <v>-21812.14763943756</v>
      </c>
      <c r="AK43" s="71"/>
      <c r="AL43" s="71"/>
      <c r="AM43" s="71"/>
      <c r="AN43" s="71"/>
      <c r="AO43" s="71"/>
      <c r="AP43" s="71"/>
      <c r="AQ43" s="71"/>
      <c r="AR43" s="71"/>
      <c r="AS43" s="71"/>
      <c r="AT43" s="71"/>
      <c r="AU43" s="71"/>
      <c r="AV43" s="71"/>
      <c r="AW43" s="71"/>
      <c r="AX43" s="71"/>
      <c r="AY43" s="71"/>
      <c r="AZ43" s="71"/>
    </row>
    <row r="44" spans="1:54">
      <c r="A44" s="41"/>
      <c r="B44" s="33" t="s">
        <v>31</v>
      </c>
      <c r="C44" s="42"/>
      <c r="D44" s="71"/>
      <c r="O44" s="130">
        <f>D20</f>
        <v>5000000</v>
      </c>
      <c r="P44" s="71">
        <f t="shared" ref="P44:AI44" si="13">O44+P42</f>
        <v>4856603.3498253338</v>
      </c>
      <c r="Q44" s="71">
        <f t="shared" si="13"/>
        <v>4705319.8838910609</v>
      </c>
      <c r="R44" s="71">
        <f t="shared" si="13"/>
        <v>4545715.827330403</v>
      </c>
      <c r="S44" s="71">
        <f t="shared" si="13"/>
        <v>4377333.5476589091</v>
      </c>
      <c r="T44" s="71">
        <f t="shared" si="13"/>
        <v>4199690.2426054832</v>
      </c>
      <c r="U44" s="71">
        <f t="shared" si="13"/>
        <v>4012276.5557741188</v>
      </c>
      <c r="V44" s="71">
        <f t="shared" si="13"/>
        <v>3814555.1161670294</v>
      </c>
      <c r="W44" s="71">
        <f t="shared" si="13"/>
        <v>3605958.9973815503</v>
      </c>
      <c r="X44" s="71">
        <f t="shared" si="13"/>
        <v>3385890.0920628696</v>
      </c>
      <c r="Y44" s="71">
        <f t="shared" si="13"/>
        <v>3153717.3969516614</v>
      </c>
      <c r="Z44" s="71">
        <f t="shared" si="13"/>
        <v>2908775.2036093371</v>
      </c>
      <c r="AA44" s="71">
        <f t="shared" si="13"/>
        <v>2650361.189633185</v>
      </c>
      <c r="AB44" s="71">
        <f t="shared" si="13"/>
        <v>2377734.4048883445</v>
      </c>
      <c r="AC44" s="71">
        <f t="shared" si="13"/>
        <v>2090113.1469825376</v>
      </c>
      <c r="AD44" s="71">
        <f t="shared" si="13"/>
        <v>1786672.7198919114</v>
      </c>
      <c r="AE44" s="71">
        <f t="shared" si="13"/>
        <v>1466543.0693113008</v>
      </c>
      <c r="AF44" s="71">
        <f t="shared" si="13"/>
        <v>1128806.2879487565</v>
      </c>
      <c r="AG44" s="71">
        <f t="shared" si="13"/>
        <v>772493.98361127218</v>
      </c>
      <c r="AH44" s="71">
        <f t="shared" si="13"/>
        <v>396584.50253522629</v>
      </c>
      <c r="AI44" s="71">
        <f t="shared" si="13"/>
        <v>-2.0954757928848267E-9</v>
      </c>
      <c r="AK44" s="71"/>
      <c r="AL44" s="71"/>
      <c r="AM44" s="71"/>
      <c r="AN44" s="71"/>
      <c r="AO44" s="71"/>
      <c r="AP44" s="71"/>
      <c r="AQ44" s="71"/>
      <c r="AR44" s="71"/>
      <c r="AS44" s="71"/>
      <c r="AT44" s="71"/>
      <c r="AU44" s="71"/>
      <c r="AV44" s="71"/>
      <c r="AW44" s="71"/>
      <c r="AX44" s="71"/>
      <c r="AY44" s="71"/>
      <c r="AZ44" s="71"/>
      <c r="BA44" s="47"/>
      <c r="BB44" s="47"/>
    </row>
    <row r="45" spans="1:54" ht="21">
      <c r="A45" s="43"/>
      <c r="B45" s="26" t="s">
        <v>32</v>
      </c>
      <c r="C45" s="27"/>
      <c r="D45" s="71">
        <f t="shared" si="10"/>
        <v>-2540222.6120562959</v>
      </c>
      <c r="P45" s="71">
        <f>P41*P26</f>
        <v>-175348.96682111474</v>
      </c>
      <c r="Q45" s="71">
        <f t="shared" ref="Q45:AI45" si="14">Q41*Q26</f>
        <v>-169108.85024700046</v>
      </c>
      <c r="R45" s="71">
        <f t="shared" si="14"/>
        <v>-163090.79973671565</v>
      </c>
      <c r="S45" s="71">
        <f t="shared" si="14"/>
        <v>-157286.91265957724</v>
      </c>
      <c r="T45" s="71">
        <f t="shared" si="14"/>
        <v>-151689.56761459855</v>
      </c>
      <c r="U45" s="71">
        <f t="shared" si="14"/>
        <v>-146291.41442241159</v>
      </c>
      <c r="V45" s="71">
        <f t="shared" si="14"/>
        <v>-141085.36447334517</v>
      </c>
      <c r="W45" s="71">
        <f t="shared" si="14"/>
        <v>-136064.58141898463</v>
      </c>
      <c r="X45" s="71">
        <f t="shared" si="14"/>
        <v>-131222.47219498953</v>
      </c>
      <c r="Y45" s="71">
        <f t="shared" si="14"/>
        <v>-126552.67836338078</v>
      </c>
      <c r="Z45" s="71">
        <f t="shared" si="14"/>
        <v>-122049.06776292872</v>
      </c>
      <c r="AA45" s="71">
        <f t="shared" si="14"/>
        <v>-117705.72645667732</v>
      </c>
      <c r="AB45" s="71">
        <f t="shared" si="14"/>
        <v>-113516.9509660308</v>
      </c>
      <c r="AC45" s="71">
        <f t="shared" si="14"/>
        <v>-109477.24078120435</v>
      </c>
      <c r="AD45" s="71">
        <f t="shared" si="14"/>
        <v>-105581.29113820461</v>
      </c>
      <c r="AE45" s="71">
        <f t="shared" si="14"/>
        <v>-101823.98605285429</v>
      </c>
      <c r="AF45" s="71">
        <f t="shared" si="14"/>
        <v>-98200.391602714153</v>
      </c>
      <c r="AG45" s="71">
        <f t="shared" si="14"/>
        <v>-94705.749448079994</v>
      </c>
      <c r="AH45" s="71">
        <f t="shared" si="14"/>
        <v>-91335.470583547125</v>
      </c>
      <c r="AI45" s="71">
        <f t="shared" si="14"/>
        <v>-88085.129311936646</v>
      </c>
      <c r="AK45" s="71"/>
      <c r="AL45" s="71"/>
      <c r="AM45" s="71"/>
      <c r="AN45" s="71"/>
      <c r="AO45" s="71"/>
      <c r="AP45" s="71"/>
      <c r="AQ45" s="71"/>
      <c r="AR45" s="71"/>
      <c r="AS45" s="71"/>
      <c r="AT45" s="71"/>
      <c r="AU45" s="71"/>
      <c r="AV45" s="71"/>
      <c r="AW45" s="71"/>
      <c r="AX45" s="71"/>
      <c r="AY45" s="71"/>
      <c r="AZ45" s="71"/>
    </row>
    <row r="46" spans="1:54">
      <c r="A46" s="27"/>
      <c r="B46" s="27"/>
      <c r="C46" s="27" t="s">
        <v>29</v>
      </c>
      <c r="D46" s="71">
        <f t="shared" si="10"/>
        <v>-1423777.5764408114</v>
      </c>
      <c r="P46" s="71">
        <f>P42*P26</f>
        <v>-60097.169619401982</v>
      </c>
      <c r="Q46" s="71">
        <f t="shared" ref="Q46:AI46" si="15">Q42*Q26</f>
        <v>-61146.218486323756</v>
      </c>
      <c r="R46" s="71">
        <f t="shared" si="15"/>
        <v>-62213.579422385519</v>
      </c>
      <c r="S46" s="71">
        <f t="shared" si="15"/>
        <v>-63299.572080833961</v>
      </c>
      <c r="T46" s="71">
        <f t="shared" si="15"/>
        <v>-64404.52169474378</v>
      </c>
      <c r="U46" s="71">
        <f t="shared" si="15"/>
        <v>-65528.759174418643</v>
      </c>
      <c r="V46" s="71">
        <f t="shared" si="15"/>
        <v>-66672.621206492127</v>
      </c>
      <c r="W46" s="71">
        <f t="shared" si="15"/>
        <v>-67836.450354758606</v>
      </c>
      <c r="X46" s="71">
        <f t="shared" si="15"/>
        <v>-69020.595162764308</v>
      </c>
      <c r="Y46" s="71">
        <f t="shared" si="15"/>
        <v>-70225.410258189178</v>
      </c>
      <c r="Z46" s="71">
        <f t="shared" si="15"/>
        <v>-71451.256459050623</v>
      </c>
      <c r="AA46" s="71">
        <f t="shared" si="15"/>
        <v>-72698.500881761414</v>
      </c>
      <c r="AB46" s="71">
        <f t="shared" si="15"/>
        <v>-73967.517051073679</v>
      </c>
      <c r="AC46" s="71">
        <f t="shared" si="15"/>
        <v>-75258.685011942056</v>
      </c>
      <c r="AD46" s="71">
        <f t="shared" si="15"/>
        <v>-76572.391443339657</v>
      </c>
      <c r="AE46" s="71">
        <f t="shared" si="15"/>
        <v>-77909.029774060487</v>
      </c>
      <c r="AF46" s="71">
        <f t="shared" si="15"/>
        <v>-79269.000300543761</v>
      </c>
      <c r="AG46" s="71">
        <f t="shared" si="15"/>
        <v>-80652.710306754423</v>
      </c>
      <c r="AH46" s="71">
        <f t="shared" si="15"/>
        <v>-82060.574186156751</v>
      </c>
      <c r="AI46" s="71">
        <f t="shared" si="15"/>
        <v>-83493.013565816713</v>
      </c>
      <c r="AK46" s="71"/>
      <c r="AL46" s="71"/>
      <c r="AM46" s="71"/>
      <c r="AN46" s="71"/>
      <c r="AO46" s="71"/>
      <c r="AP46" s="71"/>
      <c r="AQ46" s="71"/>
      <c r="AR46" s="71"/>
      <c r="AS46" s="71"/>
      <c r="AT46" s="71"/>
      <c r="AU46" s="71"/>
      <c r="AV46" s="71"/>
      <c r="AW46" s="71"/>
      <c r="AX46" s="71"/>
      <c r="AY46" s="71"/>
      <c r="AZ46" s="71"/>
    </row>
    <row r="47" spans="1:54">
      <c r="A47" s="27"/>
      <c r="B47" s="27"/>
      <c r="C47" s="27" t="s">
        <v>30</v>
      </c>
      <c r="D47" s="71">
        <f t="shared" si="10"/>
        <v>-1116445.0356154849</v>
      </c>
      <c r="P47" s="71">
        <f>P43*P26</f>
        <v>-115251.79720171275</v>
      </c>
      <c r="Q47" s="71">
        <f t="shared" ref="Q47:AI47" si="16">Q43*Q26</f>
        <v>-107962.63176067667</v>
      </c>
      <c r="R47" s="71">
        <f t="shared" si="16"/>
        <v>-100877.22031433013</v>
      </c>
      <c r="S47" s="71">
        <f t="shared" si="16"/>
        <v>-93987.3405787433</v>
      </c>
      <c r="T47" s="71">
        <f t="shared" si="16"/>
        <v>-87285.045919854776</v>
      </c>
      <c r="U47" s="71">
        <f t="shared" si="16"/>
        <v>-80762.655247992952</v>
      </c>
      <c r="V47" s="71">
        <f t="shared" si="16"/>
        <v>-74412.743266853053</v>
      </c>
      <c r="W47" s="71">
        <f t="shared" si="16"/>
        <v>-68228.131064226036</v>
      </c>
      <c r="X47" s="71">
        <f t="shared" si="16"/>
        <v>-62201.877032225195</v>
      </c>
      <c r="Y47" s="71">
        <f t="shared" si="16"/>
        <v>-56327.268105191601</v>
      </c>
      <c r="Z47" s="71">
        <f t="shared" si="16"/>
        <v>-50597.811303878101</v>
      </c>
      <c r="AA47" s="71">
        <f t="shared" si="16"/>
        <v>-45007.22557491593</v>
      </c>
      <c r="AB47" s="71">
        <f t="shared" si="16"/>
        <v>-39549.433914957124</v>
      </c>
      <c r="AC47" s="71">
        <f t="shared" si="16"/>
        <v>-34218.55576926229</v>
      </c>
      <c r="AD47" s="71">
        <f t="shared" si="16"/>
        <v>-29008.899694864973</v>
      </c>
      <c r="AE47" s="71">
        <f t="shared" si="16"/>
        <v>-23914.956278793798</v>
      </c>
      <c r="AF47" s="71">
        <f t="shared" si="16"/>
        <v>-18931.391302170385</v>
      </c>
      <c r="AG47" s="71">
        <f t="shared" si="16"/>
        <v>-14053.039141325564</v>
      </c>
      <c r="AH47" s="71">
        <f t="shared" si="16"/>
        <v>-9274.8963973903665</v>
      </c>
      <c r="AI47" s="71">
        <f t="shared" si="16"/>
        <v>-4592.1157461199191</v>
      </c>
      <c r="AK47" s="71"/>
      <c r="AL47" s="71"/>
      <c r="AM47" s="71"/>
      <c r="AN47" s="71"/>
      <c r="AO47" s="71"/>
      <c r="AP47" s="71"/>
      <c r="AQ47" s="71"/>
      <c r="AR47" s="71"/>
      <c r="AS47" s="71"/>
      <c r="AT47" s="71"/>
      <c r="AU47" s="71"/>
      <c r="AV47" s="71"/>
      <c r="AW47" s="71"/>
      <c r="AX47" s="71"/>
      <c r="AY47" s="71"/>
      <c r="AZ47" s="71"/>
    </row>
    <row r="50" spans="1:12" s="157" customFormat="1" ht="21">
      <c r="A50" s="158" t="s">
        <v>151</v>
      </c>
    </row>
    <row r="52" spans="1:12" ht="21">
      <c r="A52" s="357" t="s">
        <v>1</v>
      </c>
      <c r="B52" s="358"/>
      <c r="C52" s="358"/>
      <c r="D52" s="359"/>
      <c r="F52" s="321" t="s">
        <v>2</v>
      </c>
      <c r="G52" s="322"/>
    </row>
    <row r="53" spans="1:12">
      <c r="A53" s="55" t="s">
        <v>3</v>
      </c>
      <c r="B53" s="22"/>
      <c r="C53" s="22"/>
      <c r="D53" s="131">
        <f>Data!D28</f>
        <v>1995</v>
      </c>
      <c r="F53" s="6" t="s">
        <v>4</v>
      </c>
      <c r="G53" s="7">
        <f>D59</f>
        <v>18365000</v>
      </c>
    </row>
    <row r="54" spans="1:12">
      <c r="A54" s="4" t="s">
        <v>5</v>
      </c>
      <c r="B54" s="126"/>
      <c r="C54" s="126"/>
      <c r="D54" s="229">
        <f>Data!F28</f>
        <v>5.5E-2</v>
      </c>
      <c r="F54" s="6" t="s">
        <v>6</v>
      </c>
      <c r="G54" s="9">
        <f>D80*-1</f>
        <v>29394256.72667858</v>
      </c>
    </row>
    <row r="55" spans="1:12">
      <c r="A55" s="4" t="s">
        <v>7</v>
      </c>
      <c r="B55" s="126"/>
      <c r="C55" s="126"/>
      <c r="D55" s="131">
        <f>Data!G28</f>
        <v>6.5</v>
      </c>
      <c r="F55" s="11" t="s">
        <v>8</v>
      </c>
      <c r="G55" s="12">
        <f>D84*-1</f>
        <v>13238235.129656486</v>
      </c>
    </row>
    <row r="56" spans="1:12">
      <c r="A56" s="4" t="s">
        <v>9</v>
      </c>
      <c r="B56" s="126"/>
      <c r="C56" s="126"/>
      <c r="D56" s="131">
        <f>Data!E28</f>
        <v>15.5</v>
      </c>
      <c r="I56" s="258"/>
      <c r="J56" s="258"/>
      <c r="K56" s="258"/>
      <c r="L56" s="258"/>
    </row>
    <row r="57" spans="1:12">
      <c r="A57" s="4" t="s">
        <v>10</v>
      </c>
      <c r="B57" s="126"/>
      <c r="C57" s="126"/>
      <c r="D57" s="131">
        <v>2</v>
      </c>
      <c r="F57" s="321" t="s">
        <v>11</v>
      </c>
      <c r="G57" s="322"/>
      <c r="I57" s="288"/>
      <c r="J57" s="258"/>
      <c r="K57" s="258"/>
      <c r="L57" s="258"/>
    </row>
    <row r="58" spans="1:12">
      <c r="A58" s="4" t="s">
        <v>12</v>
      </c>
      <c r="B58" s="126"/>
      <c r="C58" s="126"/>
      <c r="D58" s="131">
        <f>(D56-D55)*D57</f>
        <v>18</v>
      </c>
      <c r="F58" s="6" t="s">
        <v>4</v>
      </c>
      <c r="G58" s="7">
        <f>D59</f>
        <v>18365000</v>
      </c>
      <c r="I58" s="289"/>
      <c r="J58" s="258"/>
      <c r="K58" s="258"/>
      <c r="L58" s="258"/>
    </row>
    <row r="59" spans="1:12">
      <c r="A59" s="4" t="s">
        <v>152</v>
      </c>
      <c r="B59" s="126"/>
      <c r="C59" s="126"/>
      <c r="D59" s="230">
        <f>Data!B28</f>
        <v>18365000</v>
      </c>
      <c r="F59" s="6" t="s">
        <v>14</v>
      </c>
      <c r="G59" s="9">
        <f>D70</f>
        <v>10807411</v>
      </c>
      <c r="I59" s="290"/>
      <c r="J59" s="290"/>
      <c r="K59" s="290"/>
      <c r="L59" s="258"/>
    </row>
    <row r="60" spans="1:12">
      <c r="A60" s="13" t="s">
        <v>15</v>
      </c>
      <c r="B60" s="14"/>
      <c r="C60" s="14"/>
      <c r="D60" s="131">
        <v>9.0500000000000007</v>
      </c>
      <c r="F60" s="6" t="s">
        <v>6</v>
      </c>
      <c r="G60" s="9">
        <f>(D91+D99)*-1</f>
        <v>16187719.529718116</v>
      </c>
      <c r="I60" s="291"/>
      <c r="J60" s="291"/>
      <c r="K60" s="291"/>
      <c r="L60" s="258"/>
    </row>
    <row r="61" spans="1:12">
      <c r="F61" s="11" t="s">
        <v>8</v>
      </c>
      <c r="G61" s="12">
        <f>(D103+D94)*-1</f>
        <v>2954713.054595937</v>
      </c>
      <c r="I61" s="291"/>
      <c r="J61" s="294"/>
      <c r="K61" s="291"/>
      <c r="L61" s="258"/>
    </row>
    <row r="62" spans="1:12" ht="20.399999999999999">
      <c r="A62" s="354" t="s">
        <v>16</v>
      </c>
      <c r="B62" s="355"/>
      <c r="C62" s="355"/>
      <c r="D62" s="356"/>
      <c r="F62" s="16"/>
      <c r="I62" s="291"/>
      <c r="J62" s="291"/>
      <c r="K62" s="291"/>
      <c r="L62" s="258"/>
    </row>
    <row r="63" spans="1:12">
      <c r="A63" s="132" t="s">
        <v>17</v>
      </c>
      <c r="B63" s="133"/>
      <c r="C63" s="133"/>
      <c r="D63" s="131">
        <f>Data!H28</f>
        <v>2011</v>
      </c>
      <c r="F63" s="323" t="s">
        <v>109</v>
      </c>
      <c r="G63" s="324"/>
      <c r="I63" s="291"/>
      <c r="J63" s="291"/>
      <c r="K63" s="291"/>
      <c r="L63" s="258"/>
    </row>
    <row r="64" spans="1:12">
      <c r="A64" s="135" t="s">
        <v>5</v>
      </c>
      <c r="B64" s="136"/>
      <c r="C64" s="136"/>
      <c r="D64" s="229">
        <f>Data!N28</f>
        <v>2.75E-2</v>
      </c>
      <c r="F64" s="121" t="s">
        <v>44</v>
      </c>
      <c r="G64" s="118" t="s">
        <v>45</v>
      </c>
      <c r="I64" s="291"/>
      <c r="J64" s="291"/>
      <c r="K64" s="291"/>
      <c r="L64" s="258"/>
    </row>
    <row r="65" spans="1:56">
      <c r="A65" s="135" t="s">
        <v>7</v>
      </c>
      <c r="B65" s="136"/>
      <c r="C65" s="136"/>
      <c r="D65" s="131">
        <f>Data!O28</f>
        <v>9.5</v>
      </c>
      <c r="F65" s="255">
        <f>(1-((D54/D57)/D71))*(1-(((1/((1+D71)^(D57*D55)))-(1/((1+D71)^(D57*D56))))/(D71*(D57*D56-D57*D55))))</f>
        <v>-4.7451484001249829E-2</v>
      </c>
      <c r="G65" s="256">
        <f>(1-((D64/D67)/D71))*(1-(((1/((1+D71)^(D67*D65)))-(1/((1+D71)^(D67*D66))))/(D71*(D67*D66-D67*D65))))+(Data!K28/D59)</f>
        <v>0.63585258923840993</v>
      </c>
      <c r="I65" s="291"/>
      <c r="J65" s="292"/>
      <c r="K65" s="292"/>
      <c r="L65" s="258"/>
    </row>
    <row r="66" spans="1:56">
      <c r="A66" s="135" t="s">
        <v>9</v>
      </c>
      <c r="B66" s="136"/>
      <c r="C66" s="136"/>
      <c r="D66" s="131">
        <f>Data!M28</f>
        <v>31.5</v>
      </c>
      <c r="I66" s="258"/>
      <c r="J66" s="258"/>
      <c r="K66" s="258"/>
      <c r="L66" s="258"/>
    </row>
    <row r="67" spans="1:56">
      <c r="A67" s="135" t="s">
        <v>10</v>
      </c>
      <c r="B67" s="136"/>
      <c r="C67" s="136"/>
      <c r="D67" s="131">
        <v>2</v>
      </c>
      <c r="I67" s="258"/>
      <c r="J67" s="258"/>
      <c r="K67" s="258"/>
      <c r="L67" s="258"/>
    </row>
    <row r="68" spans="1:56">
      <c r="A68" s="135" t="s">
        <v>12</v>
      </c>
      <c r="B68" s="136"/>
      <c r="C68" s="136"/>
      <c r="D68" s="131">
        <f>(D66-D65)*D67</f>
        <v>44</v>
      </c>
      <c r="I68" s="258"/>
      <c r="J68" s="258"/>
      <c r="K68" s="258"/>
      <c r="L68" s="258"/>
    </row>
    <row r="69" spans="1:56">
      <c r="A69" s="135" t="s">
        <v>171</v>
      </c>
      <c r="B69" s="136"/>
      <c r="C69" s="136"/>
      <c r="D69" s="293">
        <f>Data!I28</f>
        <v>918250</v>
      </c>
      <c r="I69" s="258"/>
      <c r="J69" s="258"/>
      <c r="K69" s="258"/>
      <c r="L69" s="258"/>
    </row>
    <row r="70" spans="1:56">
      <c r="A70" s="135" t="s">
        <v>153</v>
      </c>
      <c r="B70" s="136"/>
      <c r="C70" s="136"/>
      <c r="D70" s="230">
        <f>Data!L28</f>
        <v>10807411</v>
      </c>
      <c r="F70" s="71"/>
      <c r="G70" s="71"/>
      <c r="H70" s="71"/>
    </row>
    <row r="71" spans="1:56">
      <c r="A71" s="196" t="s">
        <v>187</v>
      </c>
      <c r="B71" s="14"/>
      <c r="C71" s="14"/>
      <c r="D71" s="195">
        <f>(1.05^0.5)-1</f>
        <v>2.4695076595959931E-2</v>
      </c>
      <c r="H71" s="71"/>
      <c r="I71" s="146"/>
    </row>
    <row r="73" spans="1:56" ht="78">
      <c r="A73" s="302" t="s">
        <v>43</v>
      </c>
      <c r="E73" s="53" t="s">
        <v>25</v>
      </c>
      <c r="V73" s="235"/>
      <c r="W73" s="21" t="s">
        <v>211</v>
      </c>
      <c r="AC73" s="51"/>
      <c r="AD73" s="21" t="s">
        <v>40</v>
      </c>
      <c r="BA73" s="51"/>
      <c r="BC73" s="21" t="s">
        <v>149</v>
      </c>
    </row>
    <row r="74" spans="1:56" ht="31.2">
      <c r="A74" s="2" t="s">
        <v>23</v>
      </c>
      <c r="E74" s="234" t="s">
        <v>218</v>
      </c>
      <c r="F74" s="24">
        <v>37621</v>
      </c>
      <c r="G74" s="24">
        <v>37802</v>
      </c>
      <c r="H74" s="24">
        <v>37986</v>
      </c>
      <c r="I74" s="24">
        <v>38168</v>
      </c>
      <c r="J74" s="24">
        <v>38352</v>
      </c>
      <c r="K74" s="24">
        <v>38533</v>
      </c>
      <c r="L74" s="24">
        <v>38717</v>
      </c>
      <c r="M74" s="24">
        <v>38898</v>
      </c>
      <c r="N74" s="24">
        <v>39082</v>
      </c>
      <c r="O74" s="24">
        <v>39263</v>
      </c>
      <c r="P74" s="24">
        <v>39447</v>
      </c>
      <c r="Q74" s="24">
        <v>39629</v>
      </c>
      <c r="R74" s="24">
        <v>39813</v>
      </c>
      <c r="S74" s="24">
        <v>39994</v>
      </c>
      <c r="T74" s="24">
        <v>40178</v>
      </c>
      <c r="U74" s="24">
        <v>40359</v>
      </c>
      <c r="V74" s="24">
        <v>40543</v>
      </c>
      <c r="W74" s="24">
        <v>40724</v>
      </c>
      <c r="X74" s="24">
        <v>40908</v>
      </c>
      <c r="Y74" s="24">
        <v>41090</v>
      </c>
      <c r="Z74" s="24">
        <v>41274</v>
      </c>
      <c r="AA74" s="24">
        <v>41455</v>
      </c>
      <c r="AB74" s="24">
        <v>41639</v>
      </c>
      <c r="AC74" s="24">
        <v>41820</v>
      </c>
      <c r="AD74" s="24">
        <v>42004</v>
      </c>
      <c r="AE74" s="24">
        <v>42185</v>
      </c>
      <c r="AF74" s="24">
        <v>42369</v>
      </c>
      <c r="AG74" s="24">
        <v>42551</v>
      </c>
      <c r="AH74" s="24">
        <v>42735</v>
      </c>
      <c r="AI74" s="24">
        <v>42916</v>
      </c>
      <c r="AJ74" s="24">
        <v>43100</v>
      </c>
      <c r="AK74" s="24">
        <v>43281</v>
      </c>
      <c r="AL74" s="24">
        <v>43465</v>
      </c>
      <c r="AM74" s="24">
        <v>43646</v>
      </c>
      <c r="AN74" s="24">
        <v>43830</v>
      </c>
      <c r="AO74" s="24">
        <v>44012</v>
      </c>
      <c r="AP74" s="24">
        <v>44196</v>
      </c>
      <c r="AQ74" s="24">
        <v>44377</v>
      </c>
      <c r="AR74" s="24">
        <v>44561</v>
      </c>
      <c r="AS74" s="24">
        <v>44742</v>
      </c>
      <c r="AT74" s="24">
        <v>44926</v>
      </c>
      <c r="AU74" s="24">
        <v>45107</v>
      </c>
      <c r="AV74" s="24">
        <v>45291</v>
      </c>
      <c r="AW74" s="24">
        <v>45473</v>
      </c>
      <c r="AX74" s="24">
        <v>45657</v>
      </c>
      <c r="AY74" s="24">
        <v>45838</v>
      </c>
      <c r="AZ74" s="24">
        <v>46022</v>
      </c>
      <c r="BA74" s="24">
        <v>46203</v>
      </c>
      <c r="BB74" s="24">
        <v>46387</v>
      </c>
      <c r="BC74" s="24">
        <v>46568</v>
      </c>
      <c r="BD74" s="24"/>
    </row>
    <row r="75" spans="1:56">
      <c r="A75" s="2" t="s">
        <v>38</v>
      </c>
      <c r="F75">
        <v>14</v>
      </c>
      <c r="G75">
        <v>15</v>
      </c>
      <c r="H75">
        <v>16</v>
      </c>
      <c r="I75">
        <v>17</v>
      </c>
      <c r="J75">
        <v>18</v>
      </c>
      <c r="K75">
        <v>19</v>
      </c>
      <c r="L75">
        <v>20</v>
      </c>
      <c r="M75">
        <v>21</v>
      </c>
      <c r="N75">
        <v>22</v>
      </c>
      <c r="O75">
        <v>23</v>
      </c>
      <c r="P75">
        <v>24</v>
      </c>
      <c r="Q75">
        <v>25</v>
      </c>
      <c r="R75">
        <v>26</v>
      </c>
      <c r="S75">
        <v>27</v>
      </c>
      <c r="T75">
        <v>28</v>
      </c>
      <c r="U75">
        <v>29</v>
      </c>
      <c r="V75">
        <v>30</v>
      </c>
      <c r="W75">
        <v>31</v>
      </c>
      <c r="X75">
        <v>32</v>
      </c>
      <c r="Y75">
        <v>33</v>
      </c>
      <c r="Z75">
        <v>34</v>
      </c>
      <c r="AA75">
        <v>35</v>
      </c>
      <c r="AB75">
        <v>36</v>
      </c>
      <c r="AC75">
        <v>37</v>
      </c>
      <c r="AD75">
        <v>38</v>
      </c>
      <c r="AE75">
        <v>39</v>
      </c>
      <c r="AF75">
        <v>40</v>
      </c>
      <c r="AG75">
        <v>41</v>
      </c>
      <c r="AH75">
        <v>42</v>
      </c>
      <c r="AI75">
        <v>43</v>
      </c>
      <c r="AJ75">
        <v>44</v>
      </c>
      <c r="AK75">
        <v>45</v>
      </c>
      <c r="AL75">
        <v>46</v>
      </c>
      <c r="AM75">
        <v>47</v>
      </c>
      <c r="AN75">
        <v>48</v>
      </c>
      <c r="AO75">
        <v>49</v>
      </c>
      <c r="AP75">
        <v>50</v>
      </c>
      <c r="AQ75">
        <v>51</v>
      </c>
      <c r="AR75">
        <v>52</v>
      </c>
      <c r="AS75">
        <v>53</v>
      </c>
      <c r="AT75">
        <v>54</v>
      </c>
      <c r="AU75">
        <v>55</v>
      </c>
      <c r="AV75">
        <v>56</v>
      </c>
      <c r="AW75">
        <v>57</v>
      </c>
      <c r="AX75">
        <v>58</v>
      </c>
      <c r="AY75">
        <v>59</v>
      </c>
      <c r="AZ75">
        <v>60</v>
      </c>
      <c r="BA75">
        <v>61</v>
      </c>
      <c r="BB75">
        <v>62</v>
      </c>
      <c r="BC75">
        <v>63</v>
      </c>
    </row>
    <row r="76" spans="1:56">
      <c r="A76" s="2" t="s">
        <v>26</v>
      </c>
      <c r="F76" s="138">
        <f>1/((1+($D$11/$D$8))^(F75))</f>
        <v>0.60212097654339292</v>
      </c>
      <c r="G76" s="138">
        <f t="shared" ref="G76:BC76" si="17">1/((1+($D$11/$D$8))^(G75))</f>
        <v>0.58069339043629375</v>
      </c>
      <c r="H76" s="138">
        <f t="shared" si="17"/>
        <v>0.56002834452338091</v>
      </c>
      <c r="I76" s="138">
        <f t="shared" si="17"/>
        <v>0.54009870240464941</v>
      </c>
      <c r="J76" s="138">
        <f t="shared" si="17"/>
        <v>0.52087829337896563</v>
      </c>
      <c r="K76" s="138">
        <f t="shared" si="17"/>
        <v>0.50234187807789143</v>
      </c>
      <c r="L76" s="138">
        <f t="shared" si="17"/>
        <v>0.48446511532249154</v>
      </c>
      <c r="M76" s="138">
        <f t="shared" si="17"/>
        <v>0.46722453015960219</v>
      </c>
      <c r="N76" s="138">
        <f t="shared" si="17"/>
        <v>0.450597483035589</v>
      </c>
      <c r="O76" s="138">
        <f t="shared" si="17"/>
        <v>0.43456214006711258</v>
      </c>
      <c r="P76" s="138">
        <f t="shared" si="17"/>
        <v>0.41909744436986451</v>
      </c>
      <c r="Q76" s="138">
        <f t="shared" si="17"/>
        <v>0.40418308840762329</v>
      </c>
      <c r="R76" s="138">
        <f t="shared" si="17"/>
        <v>0.38979948732531905</v>
      </c>
      <c r="S76" s="138">
        <f t="shared" si="17"/>
        <v>0.37592775323109173</v>
      </c>
      <c r="T76" s="138">
        <f t="shared" si="17"/>
        <v>0.36254967039356906</v>
      </c>
      <c r="U76" s="138">
        <f t="shared" si="17"/>
        <v>0.34964767132179486</v>
      </c>
      <c r="V76" s="138">
        <f t="shared" si="17"/>
        <v>0.33720481369639782</v>
      </c>
      <c r="W76" s="138">
        <f t="shared" si="17"/>
        <v>0.32520475812170685</v>
      </c>
      <c r="X76" s="138">
        <f t="shared" si="17"/>
        <v>0.31363174666959864</v>
      </c>
      <c r="Y76" s="138">
        <f t="shared" si="17"/>
        <v>0.30247058218690198</v>
      </c>
      <c r="Z76" s="138">
        <f t="shared" si="17"/>
        <v>0.29170660833918605</v>
      </c>
      <c r="AA76" s="138">
        <f t="shared" si="17"/>
        <v>0.2813256903647276</v>
      </c>
      <c r="AB76" s="138">
        <f t="shared" si="17"/>
        <v>0.27131419651338373</v>
      </c>
      <c r="AC76" s="138">
        <f t="shared" si="17"/>
        <v>0.26165898014599648</v>
      </c>
      <c r="AD76" s="138">
        <f t="shared" si="17"/>
        <v>0.25234736247082312</v>
      </c>
      <c r="AE76" s="138">
        <f t="shared" si="17"/>
        <v>0.24336711589432264</v>
      </c>
      <c r="AF76" s="138">
        <f t="shared" si="17"/>
        <v>0.23470644796443499</v>
      </c>
      <c r="AG76" s="138">
        <f t="shared" si="17"/>
        <v>0.22635398588526856</v>
      </c>
      <c r="AH76" s="138">
        <f t="shared" si="17"/>
        <v>0.21829876158286105</v>
      </c>
      <c r="AI76" s="138">
        <f t="shared" si="17"/>
        <v>0.21053019730240236</v>
      </c>
      <c r="AJ76" s="138">
        <f t="shared" si="17"/>
        <v>0.20303809171800788</v>
      </c>
      <c r="AK76" s="138">
        <f t="shared" si="17"/>
        <v>0.19581260653679999</v>
      </c>
      <c r="AL76" s="138">
        <f t="shared" si="17"/>
        <v>0.18884425357970874</v>
      </c>
      <c r="AM76" s="138">
        <f t="shared" si="17"/>
        <v>0.182123882322026</v>
      </c>
      <c r="AN76" s="138">
        <f t="shared" si="17"/>
        <v>0.17564266787735169</v>
      </c>
      <c r="AO76" s="138">
        <f t="shared" si="17"/>
        <v>0.16939209940915392</v>
      </c>
      <c r="AP76" s="138">
        <f t="shared" si="17"/>
        <v>0.16336396895472463</v>
      </c>
      <c r="AQ76" s="138">
        <f t="shared" si="17"/>
        <v>0.15755036064685565</v>
      </c>
      <c r="AR76" s="138">
        <f t="shared" si="17"/>
        <v>0.15194364031908153</v>
      </c>
      <c r="AS76" s="138">
        <f t="shared" si="17"/>
        <v>0.14653644548083861</v>
      </c>
      <c r="AT76" s="138">
        <f t="shared" si="17"/>
        <v>0.14132167564937662</v>
      </c>
      <c r="AU76" s="138">
        <f t="shared" si="17"/>
        <v>0.1362924830257273</v>
      </c>
      <c r="AV76" s="138">
        <f t="shared" si="17"/>
        <v>0.13144226350248556</v>
      </c>
      <c r="AW76" s="138">
        <f t="shared" si="17"/>
        <v>0.12676464799159567</v>
      </c>
      <c r="AX76" s="138">
        <f t="shared" si="17"/>
        <v>0.12225349406075389</v>
      </c>
      <c r="AY76" s="138">
        <f t="shared" si="17"/>
        <v>0.11790287786744515</v>
      </c>
      <c r="AZ76" s="138">
        <f t="shared" si="17"/>
        <v>0.11370708638002233</v>
      </c>
      <c r="BA76" s="138">
        <f t="shared" si="17"/>
        <v>0.10966060987561227</v>
      </c>
      <c r="BB76" s="138">
        <f t="shared" si="17"/>
        <v>0.10575813470499786</v>
      </c>
      <c r="BC76" s="138">
        <f t="shared" si="17"/>
        <v>0.10199453631497526</v>
      </c>
    </row>
    <row r="78" spans="1:56" s="32" customFormat="1" ht="21">
      <c r="A78" s="29" t="s">
        <v>27</v>
      </c>
    </row>
    <row r="79" spans="1:56">
      <c r="A79" s="2" t="s">
        <v>37</v>
      </c>
      <c r="F79">
        <v>1</v>
      </c>
      <c r="G79">
        <v>2</v>
      </c>
      <c r="H79">
        <v>3</v>
      </c>
      <c r="I79">
        <v>4</v>
      </c>
      <c r="J79">
        <v>5</v>
      </c>
      <c r="K79">
        <v>6</v>
      </c>
      <c r="L79">
        <v>7</v>
      </c>
      <c r="M79">
        <v>8</v>
      </c>
      <c r="N79">
        <v>9</v>
      </c>
      <c r="O79">
        <v>10</v>
      </c>
      <c r="P79">
        <v>11</v>
      </c>
      <c r="Q79">
        <v>12</v>
      </c>
      <c r="R79">
        <v>13</v>
      </c>
      <c r="S79">
        <v>14</v>
      </c>
      <c r="T79">
        <v>15</v>
      </c>
      <c r="U79">
        <v>16</v>
      </c>
      <c r="V79">
        <v>17</v>
      </c>
      <c r="W79">
        <v>18</v>
      </c>
    </row>
    <row r="80" spans="1:56">
      <c r="A80" s="27"/>
      <c r="B80" s="26" t="s">
        <v>28</v>
      </c>
      <c r="C80" s="27"/>
      <c r="D80" s="47">
        <f>SUM(F80:BC80)</f>
        <v>-29394256.72667858</v>
      </c>
      <c r="E80" s="71"/>
      <c r="F80" s="47">
        <f>PMT($D$54,$D$58,$D$59)</f>
        <v>-1633014.2625932544</v>
      </c>
      <c r="G80" s="71">
        <f t="shared" ref="G80:V80" si="18">PMT($D$54,$D$58,$D$59)</f>
        <v>-1633014.2625932544</v>
      </c>
      <c r="H80" s="71">
        <f t="shared" si="18"/>
        <v>-1633014.2625932544</v>
      </c>
      <c r="I80" s="71">
        <f t="shared" si="18"/>
        <v>-1633014.2625932544</v>
      </c>
      <c r="J80" s="71">
        <f t="shared" si="18"/>
        <v>-1633014.2625932544</v>
      </c>
      <c r="K80" s="71">
        <f t="shared" si="18"/>
        <v>-1633014.2625932544</v>
      </c>
      <c r="L80" s="71">
        <f t="shared" si="18"/>
        <v>-1633014.2625932544</v>
      </c>
      <c r="M80" s="71">
        <f t="shared" si="18"/>
        <v>-1633014.2625932544</v>
      </c>
      <c r="N80" s="71">
        <f t="shared" si="18"/>
        <v>-1633014.2625932544</v>
      </c>
      <c r="O80" s="71">
        <f t="shared" si="18"/>
        <v>-1633014.2625932544</v>
      </c>
      <c r="P80" s="71">
        <f t="shared" si="18"/>
        <v>-1633014.2625932544</v>
      </c>
      <c r="Q80" s="71">
        <f t="shared" si="18"/>
        <v>-1633014.2625932544</v>
      </c>
      <c r="R80" s="71">
        <f t="shared" si="18"/>
        <v>-1633014.2625932544</v>
      </c>
      <c r="S80" s="71">
        <f t="shared" si="18"/>
        <v>-1633014.2625932544</v>
      </c>
      <c r="T80" s="71">
        <f t="shared" si="18"/>
        <v>-1633014.2625932544</v>
      </c>
      <c r="U80" s="71">
        <f t="shared" si="18"/>
        <v>-1633014.2625932544</v>
      </c>
      <c r="V80" s="71">
        <f t="shared" si="18"/>
        <v>-1633014.2625932544</v>
      </c>
      <c r="W80" s="71">
        <f>PMT($D$54,$D$58,$D$59)</f>
        <v>-1633014.2625932544</v>
      </c>
    </row>
    <row r="81" spans="1:23">
      <c r="A81" s="27"/>
      <c r="B81" s="27"/>
      <c r="C81" s="27" t="s">
        <v>29</v>
      </c>
      <c r="D81" s="47">
        <f t="shared" ref="D81:D86" si="19">SUM(F81:BC81)</f>
        <v>-18365000</v>
      </c>
      <c r="E81" s="71"/>
      <c r="F81" s="47">
        <f>PPMT($D$54,F$79,$D$58,$D$59)</f>
        <v>-622939.26259325421</v>
      </c>
      <c r="G81" s="71">
        <f t="shared" ref="G81:W81" si="20">PPMT($D$54,G$79,$D$58,$D$59)</f>
        <v>-657200.9220358833</v>
      </c>
      <c r="H81" s="71">
        <f t="shared" si="20"/>
        <v>-693346.97274785687</v>
      </c>
      <c r="I81" s="71">
        <f t="shared" si="20"/>
        <v>-731481.05624898907</v>
      </c>
      <c r="J81" s="71">
        <f t="shared" si="20"/>
        <v>-771712.51434268348</v>
      </c>
      <c r="K81" s="71">
        <f t="shared" si="20"/>
        <v>-814156.70263153105</v>
      </c>
      <c r="L81" s="71">
        <f t="shared" si="20"/>
        <v>-858935.32127626508</v>
      </c>
      <c r="M81" s="71">
        <f t="shared" si="20"/>
        <v>-906176.76394645975</v>
      </c>
      <c r="N81" s="71">
        <f t="shared" si="20"/>
        <v>-956016.48596351524</v>
      </c>
      <c r="O81" s="71">
        <f t="shared" si="20"/>
        <v>-1008597.3926915084</v>
      </c>
      <c r="P81" s="71">
        <f t="shared" si="20"/>
        <v>-1064070.2492895413</v>
      </c>
      <c r="Q81" s="71">
        <f t="shared" si="20"/>
        <v>-1122594.1130004663</v>
      </c>
      <c r="R81" s="71">
        <f t="shared" si="20"/>
        <v>-1184336.7892154919</v>
      </c>
      <c r="S81" s="71">
        <f t="shared" si="20"/>
        <v>-1249475.3126223439</v>
      </c>
      <c r="T81" s="71">
        <f t="shared" si="20"/>
        <v>-1318196.4548165726</v>
      </c>
      <c r="U81" s="71">
        <f t="shared" si="20"/>
        <v>-1390697.2598314844</v>
      </c>
      <c r="V81" s="71">
        <f t="shared" si="20"/>
        <v>-1467185.609122216</v>
      </c>
      <c r="W81" s="71">
        <f t="shared" si="20"/>
        <v>-1547880.817623938</v>
      </c>
    </row>
    <row r="82" spans="1:23">
      <c r="A82" s="27"/>
      <c r="B82" s="27"/>
      <c r="C82" s="27" t="s">
        <v>30</v>
      </c>
      <c r="D82" s="47">
        <f t="shared" si="19"/>
        <v>-11029256.726678578</v>
      </c>
      <c r="E82" s="71"/>
      <c r="F82" s="47">
        <f>IPMT($D$54,F$79,$D$58,$D$59)</f>
        <v>-1010075</v>
      </c>
      <c r="G82" s="71">
        <f t="shared" ref="G82:W82" si="21">IPMT($D$54,G$79,$D$58,$D$59)</f>
        <v>-975813.34055737103</v>
      </c>
      <c r="H82" s="71">
        <f t="shared" si="21"/>
        <v>-939667.28984539735</v>
      </c>
      <c r="I82" s="71">
        <f t="shared" si="21"/>
        <v>-901533.20634426549</v>
      </c>
      <c r="J82" s="71">
        <f t="shared" si="21"/>
        <v>-861301.74825057096</v>
      </c>
      <c r="K82" s="71">
        <f t="shared" si="21"/>
        <v>-818857.55996172328</v>
      </c>
      <c r="L82" s="71">
        <f t="shared" si="21"/>
        <v>-774078.94131698902</v>
      </c>
      <c r="M82" s="71">
        <f t="shared" si="21"/>
        <v>-726837.49864679447</v>
      </c>
      <c r="N82" s="71">
        <f t="shared" si="21"/>
        <v>-676997.77662973921</v>
      </c>
      <c r="O82" s="71">
        <f t="shared" si="21"/>
        <v>-624416.86990174593</v>
      </c>
      <c r="P82" s="71">
        <f t="shared" si="21"/>
        <v>-568944.01330371294</v>
      </c>
      <c r="Q82" s="71">
        <f t="shared" si="21"/>
        <v>-510420.14959278808</v>
      </c>
      <c r="R82" s="71">
        <f t="shared" si="21"/>
        <v>-448677.4733777626</v>
      </c>
      <c r="S82" s="71">
        <f t="shared" si="21"/>
        <v>-383538.94997091056</v>
      </c>
      <c r="T82" s="71">
        <f t="shared" si="21"/>
        <v>-314817.80777668155</v>
      </c>
      <c r="U82" s="71">
        <f t="shared" si="21"/>
        <v>-242317.00276177007</v>
      </c>
      <c r="V82" s="71">
        <f t="shared" si="21"/>
        <v>-165828.65347103844</v>
      </c>
      <c r="W82" s="71">
        <f t="shared" si="21"/>
        <v>-85133.444969316581</v>
      </c>
    </row>
    <row r="83" spans="1:23">
      <c r="A83" s="27"/>
      <c r="B83" s="33" t="s">
        <v>31</v>
      </c>
      <c r="C83" s="33"/>
      <c r="D83" s="47"/>
      <c r="E83" s="71">
        <f>D59</f>
        <v>18365000</v>
      </c>
      <c r="F83" s="71">
        <f>E83+F81</f>
        <v>17742060.737406746</v>
      </c>
      <c r="G83" s="71">
        <f t="shared" ref="G83:W83" si="22">F83+G81</f>
        <v>17084859.815370861</v>
      </c>
      <c r="H83" s="71">
        <f t="shared" si="22"/>
        <v>16391512.842623005</v>
      </c>
      <c r="I83" s="71">
        <f t="shared" si="22"/>
        <v>15660031.786374016</v>
      </c>
      <c r="J83" s="71">
        <f t="shared" si="22"/>
        <v>14888319.272031331</v>
      </c>
      <c r="K83" s="71">
        <f t="shared" si="22"/>
        <v>14074162.5693998</v>
      </c>
      <c r="L83" s="71">
        <f t="shared" si="22"/>
        <v>13215227.248123536</v>
      </c>
      <c r="M83" s="71">
        <f t="shared" si="22"/>
        <v>12309050.484177075</v>
      </c>
      <c r="N83" s="71">
        <f t="shared" si="22"/>
        <v>11353033.998213559</v>
      </c>
      <c r="O83" s="71">
        <f t="shared" si="22"/>
        <v>10344436.605522051</v>
      </c>
      <c r="P83" s="71">
        <f t="shared" si="22"/>
        <v>9280366.3562325109</v>
      </c>
      <c r="Q83" s="71">
        <f t="shared" si="22"/>
        <v>8157772.2432320444</v>
      </c>
      <c r="R83" s="71">
        <f t="shared" si="22"/>
        <v>6973435.4540165523</v>
      </c>
      <c r="S83" s="71">
        <f t="shared" si="22"/>
        <v>5723960.1413942082</v>
      </c>
      <c r="T83" s="71">
        <f t="shared" si="22"/>
        <v>4405763.6865776358</v>
      </c>
      <c r="U83" s="71">
        <f t="shared" si="22"/>
        <v>3015066.4267461514</v>
      </c>
      <c r="V83" s="71">
        <f t="shared" si="22"/>
        <v>1547880.8176239354</v>
      </c>
      <c r="W83" s="71">
        <f t="shared" si="22"/>
        <v>-2.5611370801925659E-9</v>
      </c>
    </row>
    <row r="84" spans="1:23">
      <c r="A84" s="27"/>
      <c r="B84" s="26" t="s">
        <v>32</v>
      </c>
      <c r="C84" s="27"/>
      <c r="D84" s="47">
        <f t="shared" si="19"/>
        <v>-13238235.129656486</v>
      </c>
      <c r="E84" s="71"/>
      <c r="F84" s="71">
        <f>F80*F76</f>
        <v>-983272.14250193909</v>
      </c>
      <c r="G84" s="71">
        <f t="shared" ref="G84:W84" si="23">G80*G76</f>
        <v>-948280.58877610101</v>
      </c>
      <c r="H84" s="71">
        <f t="shared" si="23"/>
        <v>-914534.27406316996</v>
      </c>
      <c r="I84" s="71">
        <f t="shared" si="23"/>
        <v>-881988.8842349021</v>
      </c>
      <c r="J84" s="71">
        <f t="shared" si="23"/>
        <v>-850601.68216308439</v>
      </c>
      <c r="K84" s="71">
        <f t="shared" si="23"/>
        <v>-820331.45159907837</v>
      </c>
      <c r="L84" s="71">
        <f t="shared" si="23"/>
        <v>-791138.44305051444</v>
      </c>
      <c r="M84" s="71">
        <f t="shared" si="23"/>
        <v>-762984.32158406253</v>
      </c>
      <c r="N84" s="71">
        <f t="shared" si="23"/>
        <v>-735832.11648573889</v>
      </c>
      <c r="O84" s="71">
        <f t="shared" si="23"/>
        <v>-709646.17271264235</v>
      </c>
      <c r="P84" s="71">
        <f t="shared" si="23"/>
        <v>-684392.10407237173</v>
      </c>
      <c r="Q84" s="71">
        <f t="shared" si="23"/>
        <v>-660036.74806863908</v>
      </c>
      <c r="R84" s="71">
        <f t="shared" si="23"/>
        <v>-636548.12235378451</v>
      </c>
      <c r="S84" s="71">
        <f t="shared" si="23"/>
        <v>-613895.38273101021</v>
      </c>
      <c r="T84" s="71">
        <f t="shared" si="23"/>
        <v>-592048.78265118168</v>
      </c>
      <c r="U84" s="71">
        <f t="shared" si="23"/>
        <v>-570979.63415100949</v>
      </c>
      <c r="V84" s="71">
        <f t="shared" si="23"/>
        <v>-550660.27018131886</v>
      </c>
      <c r="W84" s="71">
        <f t="shared" si="23"/>
        <v>-531064.00827593682</v>
      </c>
    </row>
    <row r="85" spans="1:23">
      <c r="A85" s="27"/>
      <c r="B85" s="27"/>
      <c r="C85" s="27" t="s">
        <v>29</v>
      </c>
      <c r="D85" s="47">
        <f t="shared" si="19"/>
        <v>-7852960.3393559018</v>
      </c>
      <c r="E85" s="71"/>
      <c r="F85" s="71">
        <f>F81*F76</f>
        <v>-375084.79711987131</v>
      </c>
      <c r="G85" s="71">
        <f t="shared" ref="G85:W85" si="24">G81*G76</f>
        <v>-381632.23161487543</v>
      </c>
      <c r="H85" s="71">
        <f t="shared" si="24"/>
        <v>-388293.95732827997</v>
      </c>
      <c r="I85" s="71">
        <f t="shared" si="24"/>
        <v>-395071.96931366139</v>
      </c>
      <c r="J85" s="71">
        <f t="shared" si="24"/>
        <v>-401968.29745000752</v>
      </c>
      <c r="K85" s="71">
        <f t="shared" si="24"/>
        <v>-408985.00704962667</v>
      </c>
      <c r="L85" s="71">
        <f t="shared" si="24"/>
        <v>-416124.1994766671</v>
      </c>
      <c r="M85" s="71">
        <f t="shared" si="24"/>
        <v>-423388.01277643337</v>
      </c>
      <c r="N85" s="71">
        <f t="shared" si="24"/>
        <v>-430778.62231568847</v>
      </c>
      <c r="O85" s="71">
        <f t="shared" si="24"/>
        <v>-438298.24143413181</v>
      </c>
      <c r="P85" s="71">
        <f t="shared" si="24"/>
        <v>-445949.12210725137</v>
      </c>
      <c r="Q85" s="71">
        <f t="shared" si="24"/>
        <v>-453733.55562074488</v>
      </c>
      <c r="R85" s="71">
        <f t="shared" si="24"/>
        <v>-461653.87325671315</v>
      </c>
      <c r="S85" s="71">
        <f t="shared" si="24"/>
        <v>-469712.44699183368</v>
      </c>
      <c r="T85" s="71">
        <f t="shared" si="24"/>
        <v>-477911.69020771963</v>
      </c>
      <c r="U85" s="71">
        <f t="shared" si="24"/>
        <v>-486254.0584136796</v>
      </c>
      <c r="V85" s="71">
        <f t="shared" si="24"/>
        <v>-494742.04998209281</v>
      </c>
      <c r="W85" s="71">
        <f t="shared" si="24"/>
        <v>-503378.20689662261</v>
      </c>
    </row>
    <row r="86" spans="1:23">
      <c r="A86" s="27"/>
      <c r="B86" s="27"/>
      <c r="C86" s="27" t="s">
        <v>30</v>
      </c>
      <c r="D86" s="47">
        <f t="shared" si="19"/>
        <v>-5385274.7903005844</v>
      </c>
      <c r="E86" s="71"/>
      <c r="F86" s="71">
        <f>F82*F76</f>
        <v>-608187.34538206761</v>
      </c>
      <c r="G86" s="71">
        <f t="shared" ref="G86:W86" si="25">G82*G76</f>
        <v>-566648.35716122552</v>
      </c>
      <c r="H86" s="71">
        <f t="shared" si="25"/>
        <v>-526240.31673488976</v>
      </c>
      <c r="I86" s="71">
        <f t="shared" si="25"/>
        <v>-486916.91492124082</v>
      </c>
      <c r="J86" s="71">
        <f t="shared" si="25"/>
        <v>-448633.38471307687</v>
      </c>
      <c r="K86" s="71">
        <f t="shared" si="25"/>
        <v>-411346.4445494517</v>
      </c>
      <c r="L86" s="71">
        <f t="shared" si="25"/>
        <v>-375014.24357384723</v>
      </c>
      <c r="M86" s="71">
        <f t="shared" si="25"/>
        <v>-339596.30880762904</v>
      </c>
      <c r="N86" s="71">
        <f t="shared" si="25"/>
        <v>-305053.49417005037</v>
      </c>
      <c r="O86" s="71">
        <f t="shared" si="25"/>
        <v>-271347.93127851054</v>
      </c>
      <c r="P86" s="71">
        <f t="shared" si="25"/>
        <v>-238442.9819651203</v>
      </c>
      <c r="Q86" s="71">
        <f t="shared" si="25"/>
        <v>-206303.19244789417</v>
      </c>
      <c r="R86" s="71">
        <f t="shared" si="25"/>
        <v>-174894.24909707136</v>
      </c>
      <c r="S86" s="71">
        <f t="shared" si="25"/>
        <v>-144182.93573917649</v>
      </c>
      <c r="T86" s="71">
        <f t="shared" si="25"/>
        <v>-114137.09244346188</v>
      </c>
      <c r="U86" s="71">
        <f t="shared" si="25"/>
        <v>-84725.57573732984</v>
      </c>
      <c r="V86" s="71">
        <f t="shared" si="25"/>
        <v>-55918.220199226031</v>
      </c>
      <c r="W86" s="71">
        <f t="shared" si="25"/>
        <v>-27685.801379314238</v>
      </c>
    </row>
    <row r="88" spans="1:23" s="32" customFormat="1" ht="21">
      <c r="A88" s="29" t="s">
        <v>33</v>
      </c>
      <c r="B88" s="30"/>
      <c r="C88" s="30"/>
      <c r="D88" s="30"/>
    </row>
    <row r="89" spans="1:23" s="40" customFormat="1" ht="16.05" customHeight="1">
      <c r="A89" s="36" t="s">
        <v>34</v>
      </c>
      <c r="B89" s="37"/>
      <c r="C89" s="37"/>
      <c r="D89" s="37"/>
    </row>
    <row r="90" spans="1:23" s="141" customFormat="1" ht="16.05" customHeight="1">
      <c r="A90" s="2" t="s">
        <v>37</v>
      </c>
      <c r="B90"/>
      <c r="C90"/>
      <c r="D90" s="142"/>
      <c r="F90">
        <v>1</v>
      </c>
      <c r="G90">
        <v>2</v>
      </c>
      <c r="H90">
        <v>3</v>
      </c>
      <c r="I90">
        <v>4</v>
      </c>
      <c r="J90">
        <v>5</v>
      </c>
      <c r="K90">
        <v>6</v>
      </c>
      <c r="L90">
        <v>7</v>
      </c>
      <c r="M90">
        <v>8</v>
      </c>
      <c r="N90">
        <v>9</v>
      </c>
      <c r="O90">
        <v>10</v>
      </c>
      <c r="P90">
        <v>11</v>
      </c>
      <c r="Q90">
        <v>12</v>
      </c>
      <c r="R90">
        <v>13</v>
      </c>
      <c r="S90">
        <v>14</v>
      </c>
      <c r="T90">
        <v>15</v>
      </c>
      <c r="U90">
        <v>16</v>
      </c>
      <c r="V90">
        <v>17</v>
      </c>
      <c r="W90">
        <v>18</v>
      </c>
    </row>
    <row r="91" spans="1:23" s="141" customFormat="1" ht="16.05" customHeight="1">
      <c r="A91" s="27"/>
      <c r="B91" s="26" t="s">
        <v>28</v>
      </c>
      <c r="C91" s="27"/>
      <c r="D91" s="155">
        <f>SUM(F91:BC91)</f>
        <v>-918249.99999999988</v>
      </c>
      <c r="F91" s="155">
        <f>($D$69/$D$58)*-1</f>
        <v>-51013.888888888891</v>
      </c>
      <c r="G91" s="155">
        <f t="shared" ref="G91:W91" si="26">($D$69/$D$58)*-1</f>
        <v>-51013.888888888891</v>
      </c>
      <c r="H91" s="155">
        <f t="shared" si="26"/>
        <v>-51013.888888888891</v>
      </c>
      <c r="I91" s="155">
        <f t="shared" si="26"/>
        <v>-51013.888888888891</v>
      </c>
      <c r="J91" s="155">
        <f t="shared" si="26"/>
        <v>-51013.888888888891</v>
      </c>
      <c r="K91" s="155">
        <f t="shared" si="26"/>
        <v>-51013.888888888891</v>
      </c>
      <c r="L91" s="155">
        <f t="shared" si="26"/>
        <v>-51013.888888888891</v>
      </c>
      <c r="M91" s="155">
        <f t="shared" si="26"/>
        <v>-51013.888888888891</v>
      </c>
      <c r="N91" s="155">
        <f t="shared" si="26"/>
        <v>-51013.888888888891</v>
      </c>
      <c r="O91" s="155">
        <f t="shared" si="26"/>
        <v>-51013.888888888891</v>
      </c>
      <c r="P91" s="155">
        <f t="shared" si="26"/>
        <v>-51013.888888888891</v>
      </c>
      <c r="Q91" s="155">
        <f t="shared" si="26"/>
        <v>-51013.888888888891</v>
      </c>
      <c r="R91" s="155">
        <f t="shared" si="26"/>
        <v>-51013.888888888891</v>
      </c>
      <c r="S91" s="155">
        <f t="shared" si="26"/>
        <v>-51013.888888888891</v>
      </c>
      <c r="T91" s="155">
        <f t="shared" si="26"/>
        <v>-51013.888888888891</v>
      </c>
      <c r="U91" s="155">
        <f t="shared" si="26"/>
        <v>-51013.888888888891</v>
      </c>
      <c r="V91" s="155">
        <f t="shared" si="26"/>
        <v>-51013.888888888891</v>
      </c>
      <c r="W91" s="155">
        <f t="shared" si="26"/>
        <v>-51013.888888888891</v>
      </c>
    </row>
    <row r="92" spans="1:23" s="141" customFormat="1" ht="16.05" customHeight="1">
      <c r="A92" s="27"/>
      <c r="B92" s="27"/>
      <c r="C92" s="27" t="s">
        <v>29</v>
      </c>
      <c r="D92" s="155"/>
      <c r="F92" s="155"/>
      <c r="G92" s="155"/>
      <c r="H92" s="155"/>
      <c r="I92" s="155"/>
      <c r="J92" s="155"/>
      <c r="K92" s="155"/>
      <c r="L92" s="155"/>
      <c r="M92" s="155"/>
      <c r="N92" s="155"/>
      <c r="O92" s="155"/>
      <c r="P92" s="155"/>
      <c r="Q92" s="155"/>
      <c r="R92" s="155"/>
      <c r="S92" s="155"/>
      <c r="T92" s="155"/>
      <c r="U92" s="155"/>
      <c r="V92" s="155"/>
      <c r="W92" s="155"/>
    </row>
    <row r="93" spans="1:23" s="141" customFormat="1" ht="16.05" customHeight="1">
      <c r="A93" s="27"/>
      <c r="B93" s="27"/>
      <c r="C93" s="27" t="s">
        <v>30</v>
      </c>
      <c r="D93" s="155"/>
      <c r="F93" s="155"/>
      <c r="G93" s="155"/>
      <c r="H93" s="155"/>
      <c r="I93" s="155"/>
      <c r="J93" s="155"/>
      <c r="K93" s="155"/>
      <c r="L93" s="155"/>
      <c r="M93" s="155"/>
      <c r="N93" s="155"/>
      <c r="O93" s="155"/>
      <c r="P93" s="155"/>
      <c r="Q93" s="155"/>
      <c r="R93" s="155"/>
      <c r="S93" s="155"/>
      <c r="T93" s="155"/>
      <c r="U93" s="155"/>
      <c r="V93" s="155"/>
      <c r="W93" s="155"/>
    </row>
    <row r="94" spans="1:23" s="141" customFormat="1" ht="16.05" customHeight="1">
      <c r="A94" s="27"/>
      <c r="B94" s="26" t="s">
        <v>32</v>
      </c>
      <c r="C94" s="27"/>
      <c r="D94" s="155">
        <f t="shared" ref="D94" si="27">SUM(F94:BC94)</f>
        <v>-413550.49460305378</v>
      </c>
      <c r="E94" s="67"/>
      <c r="F94" s="155">
        <f t="shared" ref="F94:W94" si="28">F91*F76</f>
        <v>-30716.532595053919</v>
      </c>
      <c r="G94" s="155">
        <f t="shared" si="28"/>
        <v>-29623.428098229266</v>
      </c>
      <c r="H94" s="155">
        <f t="shared" si="28"/>
        <v>-28569.223742144142</v>
      </c>
      <c r="I94" s="155">
        <f t="shared" si="28"/>
        <v>-27552.535193503852</v>
      </c>
      <c r="J94" s="155">
        <f t="shared" si="28"/>
        <v>-26572.027383068624</v>
      </c>
      <c r="K94" s="155">
        <f t="shared" si="28"/>
        <v>-25626.412752501325</v>
      </c>
      <c r="L94" s="155">
        <f t="shared" si="28"/>
        <v>-24714.449563604325</v>
      </c>
      <c r="M94" s="155">
        <f t="shared" si="28"/>
        <v>-23834.940267725262</v>
      </c>
      <c r="N94" s="155">
        <f t="shared" si="28"/>
        <v>-22986.729933190534</v>
      </c>
      <c r="O94" s="155">
        <f t="shared" si="28"/>
        <v>-22168.704728701454</v>
      </c>
      <c r="P94" s="155">
        <f t="shared" si="28"/>
        <v>-21379.790460701563</v>
      </c>
      <c r="Q94" s="155">
        <f t="shared" si="28"/>
        <v>-20618.951162794448</v>
      </c>
      <c r="R94" s="155">
        <f t="shared" si="28"/>
        <v>-19885.187735359679</v>
      </c>
      <c r="S94" s="155">
        <f t="shared" si="28"/>
        <v>-19177.536633580556</v>
      </c>
      <c r="T94" s="155">
        <f t="shared" si="28"/>
        <v>-18495.068602160824</v>
      </c>
      <c r="U94" s="155">
        <f t="shared" si="28"/>
        <v>-17836.887455068787</v>
      </c>
      <c r="V94" s="155">
        <f t="shared" si="28"/>
        <v>-17202.128898706516</v>
      </c>
      <c r="W94" s="155">
        <f t="shared" si="28"/>
        <v>-16589.95939695874</v>
      </c>
    </row>
    <row r="95" spans="1:23" s="141" customFormat="1" ht="16.05" customHeight="1">
      <c r="A95" s="27"/>
      <c r="B95" s="27"/>
      <c r="C95" s="27" t="s">
        <v>29</v>
      </c>
      <c r="D95" s="142"/>
    </row>
    <row r="96" spans="1:23" s="141" customFormat="1" ht="16.05" customHeight="1">
      <c r="A96" s="27"/>
      <c r="B96" s="27"/>
      <c r="C96" s="27" t="s">
        <v>30</v>
      </c>
      <c r="D96" s="142"/>
    </row>
    <row r="97" spans="1:61" s="40" customFormat="1">
      <c r="A97" s="36" t="s">
        <v>39</v>
      </c>
      <c r="B97" s="44"/>
      <c r="C97" s="37"/>
      <c r="D97" s="37"/>
    </row>
    <row r="98" spans="1:61" s="141" customFormat="1">
      <c r="A98" s="140" t="s">
        <v>24</v>
      </c>
      <c r="C98" s="142"/>
      <c r="D98" s="142"/>
      <c r="V98" s="141" t="s">
        <v>25</v>
      </c>
      <c r="W98" s="141" t="s">
        <v>25</v>
      </c>
      <c r="X98" s="141" t="s">
        <v>25</v>
      </c>
      <c r="Y98" s="141" t="s">
        <v>25</v>
      </c>
      <c r="Z98" s="141" t="s">
        <v>25</v>
      </c>
      <c r="AA98" s="141" t="s">
        <v>25</v>
      </c>
      <c r="AB98" s="141" t="s">
        <v>25</v>
      </c>
      <c r="AC98" s="141" t="s">
        <v>25</v>
      </c>
      <c r="AD98" s="141">
        <v>1</v>
      </c>
      <c r="AE98" s="141">
        <v>2</v>
      </c>
      <c r="AF98" s="141">
        <v>3</v>
      </c>
      <c r="AG98" s="141">
        <v>4</v>
      </c>
      <c r="AH98" s="141">
        <v>5</v>
      </c>
      <c r="AI98" s="141">
        <v>6</v>
      </c>
      <c r="AJ98" s="141">
        <v>7</v>
      </c>
      <c r="AK98" s="141">
        <v>8</v>
      </c>
      <c r="AL98" s="141">
        <v>9</v>
      </c>
      <c r="AM98" s="141">
        <v>10</v>
      </c>
      <c r="AN98" s="141">
        <v>11</v>
      </c>
      <c r="AO98" s="141">
        <v>12</v>
      </c>
      <c r="AP98" s="141">
        <v>13</v>
      </c>
      <c r="AQ98" s="141">
        <v>14</v>
      </c>
      <c r="AR98" s="141">
        <v>15</v>
      </c>
      <c r="AS98" s="141">
        <v>16</v>
      </c>
      <c r="AT98" s="141">
        <v>17</v>
      </c>
      <c r="AU98" s="141">
        <v>18</v>
      </c>
      <c r="AV98" s="141">
        <v>19</v>
      </c>
      <c r="AW98" s="141">
        <v>20</v>
      </c>
      <c r="AX98" s="141">
        <v>21</v>
      </c>
      <c r="AY98" s="141">
        <v>22</v>
      </c>
      <c r="AZ98" s="141">
        <v>23</v>
      </c>
      <c r="BA98" s="141">
        <v>24</v>
      </c>
      <c r="BB98" s="141">
        <v>25</v>
      </c>
      <c r="BC98" s="141">
        <v>26</v>
      </c>
    </row>
    <row r="99" spans="1:61">
      <c r="A99" s="41"/>
      <c r="B99" s="26" t="s">
        <v>28</v>
      </c>
      <c r="C99" s="27"/>
      <c r="D99" s="71">
        <f>SUM(F99:BC99)</f>
        <v>-15269469.529718116</v>
      </c>
      <c r="AD99" s="47">
        <f>PMT($D$64,$D$68-$D$58,$D$70)</f>
        <v>-587287.28960454313</v>
      </c>
      <c r="AE99" s="47">
        <f t="shared" ref="AE99:BC99" si="29">PMT($D$64,$D$68-$D$58,$D$70)</f>
        <v>-587287.28960454313</v>
      </c>
      <c r="AF99" s="47">
        <f t="shared" si="29"/>
        <v>-587287.28960454313</v>
      </c>
      <c r="AG99" s="47">
        <f t="shared" si="29"/>
        <v>-587287.28960454313</v>
      </c>
      <c r="AH99" s="47">
        <f t="shared" si="29"/>
        <v>-587287.28960454313</v>
      </c>
      <c r="AI99" s="47">
        <f t="shared" si="29"/>
        <v>-587287.28960454313</v>
      </c>
      <c r="AJ99" s="47">
        <f t="shared" si="29"/>
        <v>-587287.28960454313</v>
      </c>
      <c r="AK99" s="47">
        <f t="shared" si="29"/>
        <v>-587287.28960454313</v>
      </c>
      <c r="AL99" s="47">
        <f t="shared" si="29"/>
        <v>-587287.28960454313</v>
      </c>
      <c r="AM99" s="47">
        <f t="shared" si="29"/>
        <v>-587287.28960454313</v>
      </c>
      <c r="AN99" s="47">
        <f t="shared" si="29"/>
        <v>-587287.28960454313</v>
      </c>
      <c r="AO99" s="47">
        <f t="shared" si="29"/>
        <v>-587287.28960454313</v>
      </c>
      <c r="AP99" s="47">
        <f t="shared" si="29"/>
        <v>-587287.28960454313</v>
      </c>
      <c r="AQ99" s="47">
        <f t="shared" si="29"/>
        <v>-587287.28960454313</v>
      </c>
      <c r="AR99" s="47">
        <f t="shared" si="29"/>
        <v>-587287.28960454313</v>
      </c>
      <c r="AS99" s="47">
        <f t="shared" si="29"/>
        <v>-587287.28960454313</v>
      </c>
      <c r="AT99" s="47">
        <f t="shared" si="29"/>
        <v>-587287.28960454313</v>
      </c>
      <c r="AU99" s="47">
        <f t="shared" si="29"/>
        <v>-587287.28960454313</v>
      </c>
      <c r="AV99" s="47">
        <f t="shared" si="29"/>
        <v>-587287.28960454313</v>
      </c>
      <c r="AW99" s="47">
        <f t="shared" si="29"/>
        <v>-587287.28960454313</v>
      </c>
      <c r="AX99" s="47">
        <f t="shared" si="29"/>
        <v>-587287.28960454313</v>
      </c>
      <c r="AY99" s="47">
        <f t="shared" si="29"/>
        <v>-587287.28960454313</v>
      </c>
      <c r="AZ99" s="47">
        <f t="shared" si="29"/>
        <v>-587287.28960454313</v>
      </c>
      <c r="BA99" s="47">
        <f t="shared" si="29"/>
        <v>-587287.28960454313</v>
      </c>
      <c r="BB99" s="47">
        <f t="shared" si="29"/>
        <v>-587287.28960454313</v>
      </c>
      <c r="BC99" s="47">
        <f t="shared" si="29"/>
        <v>-587287.28960454313</v>
      </c>
      <c r="BD99" s="47"/>
      <c r="BE99" s="71"/>
      <c r="BF99" s="71"/>
      <c r="BG99" s="71"/>
      <c r="BH99" s="71"/>
      <c r="BI99" s="71"/>
    </row>
    <row r="100" spans="1:61">
      <c r="A100" s="41"/>
      <c r="B100" s="27"/>
      <c r="C100" s="27" t="s">
        <v>29</v>
      </c>
      <c r="D100" s="71">
        <f t="shared" ref="D100:D105" si="30">SUM(F100:BC100)</f>
        <v>-10807411</v>
      </c>
      <c r="AD100" s="47">
        <f>PPMT($D$64,AD$98,$D$68-$D$58,$D$70)</f>
        <v>-290083.48710454308</v>
      </c>
      <c r="AE100" s="47">
        <f t="shared" ref="AE100:BC100" si="31">PPMT($D$64,AE$98,$D$68-$D$58,$D$70)</f>
        <v>-298060.78299991798</v>
      </c>
      <c r="AF100" s="47">
        <f t="shared" si="31"/>
        <v>-306257.45453241572</v>
      </c>
      <c r="AG100" s="47">
        <f t="shared" si="31"/>
        <v>-314679.53453205718</v>
      </c>
      <c r="AH100" s="47">
        <f t="shared" si="31"/>
        <v>-323333.22173168877</v>
      </c>
      <c r="AI100" s="47">
        <f t="shared" si="31"/>
        <v>-332224.8853293102</v>
      </c>
      <c r="AJ100" s="47">
        <f t="shared" si="31"/>
        <v>-341361.06967586622</v>
      </c>
      <c r="AK100" s="47">
        <f t="shared" si="31"/>
        <v>-350748.49909195263</v>
      </c>
      <c r="AL100" s="47">
        <f t="shared" si="31"/>
        <v>-360394.0828169813</v>
      </c>
      <c r="AM100" s="47">
        <f t="shared" si="31"/>
        <v>-370304.92009444826</v>
      </c>
      <c r="AN100" s="47">
        <f t="shared" si="31"/>
        <v>-380488.30539704557</v>
      </c>
      <c r="AO100" s="47">
        <f t="shared" si="31"/>
        <v>-390951.73379546433</v>
      </c>
      <c r="AP100" s="47">
        <f t="shared" si="31"/>
        <v>-401702.9064748396</v>
      </c>
      <c r="AQ100" s="47">
        <f t="shared" si="31"/>
        <v>-412749.73640289775</v>
      </c>
      <c r="AR100" s="47">
        <f t="shared" si="31"/>
        <v>-424100.35415397736</v>
      </c>
      <c r="AS100" s="47">
        <f t="shared" si="31"/>
        <v>-435763.11389321176</v>
      </c>
      <c r="AT100" s="47">
        <f t="shared" si="31"/>
        <v>-447746.59952527512</v>
      </c>
      <c r="AU100" s="47">
        <f t="shared" si="31"/>
        <v>-460059.63101222017</v>
      </c>
      <c r="AV100" s="47">
        <f t="shared" si="31"/>
        <v>-472711.2708650562</v>
      </c>
      <c r="AW100" s="47">
        <f t="shared" si="31"/>
        <v>-485710.83081384527</v>
      </c>
      <c r="AX100" s="47">
        <f t="shared" si="31"/>
        <v>-499067.87866122596</v>
      </c>
      <c r="AY100" s="47">
        <f t="shared" si="31"/>
        <v>-512792.24532440968</v>
      </c>
      <c r="AZ100" s="47">
        <f t="shared" si="31"/>
        <v>-526894.03207083093</v>
      </c>
      <c r="BA100" s="47">
        <f t="shared" si="31"/>
        <v>-541383.61795277882</v>
      </c>
      <c r="BB100" s="47">
        <f t="shared" si="31"/>
        <v>-556271.66744648025</v>
      </c>
      <c r="BC100" s="47">
        <f t="shared" si="31"/>
        <v>-571569.13830125856</v>
      </c>
      <c r="BD100" s="47"/>
      <c r="BE100" s="71"/>
      <c r="BF100" s="71"/>
      <c r="BG100" s="71"/>
      <c r="BH100" s="71"/>
      <c r="BI100" s="71"/>
    </row>
    <row r="101" spans="1:61">
      <c r="A101" s="41"/>
      <c r="B101" s="27"/>
      <c r="C101" s="27" t="s">
        <v>30</v>
      </c>
      <c r="D101" s="71">
        <f t="shared" si="30"/>
        <v>-4462058.5297181206</v>
      </c>
      <c r="AD101" s="47">
        <f>IPMT($D$64,AD$98,$D$68-$D$58,$D$70)</f>
        <v>-297203.80249999999</v>
      </c>
      <c r="AE101" s="47">
        <f t="shared" ref="AE101:BC101" si="32">IPMT($D$64,AE$98,$D$68-$D$58,$D$70)</f>
        <v>-289226.50660462509</v>
      </c>
      <c r="AF101" s="47">
        <f t="shared" si="32"/>
        <v>-281029.83507212735</v>
      </c>
      <c r="AG101" s="47">
        <f t="shared" si="32"/>
        <v>-272607.75507248589</v>
      </c>
      <c r="AH101" s="47">
        <f t="shared" si="32"/>
        <v>-263954.06787285424</v>
      </c>
      <c r="AI101" s="47">
        <f t="shared" si="32"/>
        <v>-255062.40427523281</v>
      </c>
      <c r="AJ101" s="47">
        <f t="shared" si="32"/>
        <v>-245926.21992867684</v>
      </c>
      <c r="AK101" s="47">
        <f t="shared" si="32"/>
        <v>-236538.79051259047</v>
      </c>
      <c r="AL101" s="47">
        <f t="shared" si="32"/>
        <v>-226893.20678756182</v>
      </c>
      <c r="AM101" s="47">
        <f t="shared" si="32"/>
        <v>-216982.36951009484</v>
      </c>
      <c r="AN101" s="47">
        <f t="shared" si="32"/>
        <v>-206798.9842074975</v>
      </c>
      <c r="AO101" s="47">
        <f t="shared" si="32"/>
        <v>-196335.55580907874</v>
      </c>
      <c r="AP101" s="47">
        <f t="shared" si="32"/>
        <v>-185584.38312970346</v>
      </c>
      <c r="AQ101" s="47">
        <f t="shared" si="32"/>
        <v>-174537.55320164538</v>
      </c>
      <c r="AR101" s="47">
        <f t="shared" si="32"/>
        <v>-163186.93545056571</v>
      </c>
      <c r="AS101" s="47">
        <f t="shared" si="32"/>
        <v>-151524.17571133131</v>
      </c>
      <c r="AT101" s="47">
        <f t="shared" si="32"/>
        <v>-139540.69007926801</v>
      </c>
      <c r="AU101" s="47">
        <f t="shared" si="32"/>
        <v>-127227.65859232291</v>
      </c>
      <c r="AV101" s="47">
        <f t="shared" si="32"/>
        <v>-114576.01873948686</v>
      </c>
      <c r="AW101" s="47">
        <f t="shared" si="32"/>
        <v>-101576.45879069781</v>
      </c>
      <c r="AX101" s="47">
        <f t="shared" si="32"/>
        <v>-88219.410943317067</v>
      </c>
      <c r="AY101" s="47">
        <f t="shared" si="32"/>
        <v>-74495.04428013337</v>
      </c>
      <c r="AZ101" s="47">
        <f t="shared" si="32"/>
        <v>-60393.257533712094</v>
      </c>
      <c r="BA101" s="47">
        <f t="shared" si="32"/>
        <v>-45903.671651764242</v>
      </c>
      <c r="BB101" s="47">
        <f t="shared" si="32"/>
        <v>-31015.622158062819</v>
      </c>
      <c r="BC101" s="47">
        <f t="shared" si="32"/>
        <v>-15718.151303284611</v>
      </c>
      <c r="BD101" s="47"/>
      <c r="BE101" s="71"/>
      <c r="BF101" s="71"/>
      <c r="BG101" s="71"/>
      <c r="BH101" s="71"/>
      <c r="BI101" s="71"/>
    </row>
    <row r="102" spans="1:61">
      <c r="A102" s="41"/>
      <c r="B102" s="33" t="s">
        <v>31</v>
      </c>
      <c r="C102" s="42"/>
      <c r="D102" s="71"/>
      <c r="AC102" s="130">
        <f>D70</f>
        <v>10807411</v>
      </c>
      <c r="AD102" s="71">
        <f>AC102+AD100</f>
        <v>10517327.512895457</v>
      </c>
      <c r="AE102" s="71">
        <f t="shared" ref="AE102:BC102" si="33">AD102+AE100</f>
        <v>10219266.72989554</v>
      </c>
      <c r="AF102" s="71">
        <f t="shared" si="33"/>
        <v>9913009.275363123</v>
      </c>
      <c r="AG102" s="71">
        <f t="shared" si="33"/>
        <v>9598329.7408310659</v>
      </c>
      <c r="AH102" s="71">
        <f t="shared" si="33"/>
        <v>9274996.5190993771</v>
      </c>
      <c r="AI102" s="71">
        <f t="shared" si="33"/>
        <v>8942771.6337700672</v>
      </c>
      <c r="AJ102" s="71">
        <f t="shared" si="33"/>
        <v>8601410.5640942007</v>
      </c>
      <c r="AK102" s="71">
        <f t="shared" si="33"/>
        <v>8250662.0650022477</v>
      </c>
      <c r="AL102" s="71">
        <f t="shared" si="33"/>
        <v>7890267.982185266</v>
      </c>
      <c r="AM102" s="71">
        <f t="shared" si="33"/>
        <v>7519963.0620908178</v>
      </c>
      <c r="AN102" s="71">
        <f t="shared" si="33"/>
        <v>7139474.756693772</v>
      </c>
      <c r="AO102" s="71">
        <f t="shared" si="33"/>
        <v>6748523.022898308</v>
      </c>
      <c r="AP102" s="71">
        <f t="shared" si="33"/>
        <v>6346820.1164234681</v>
      </c>
      <c r="AQ102" s="71">
        <f t="shared" si="33"/>
        <v>5934070.38002057</v>
      </c>
      <c r="AR102" s="71">
        <f t="shared" si="33"/>
        <v>5509970.0258665923</v>
      </c>
      <c r="AS102" s="71">
        <f t="shared" si="33"/>
        <v>5074206.9119733805</v>
      </c>
      <c r="AT102" s="71">
        <f t="shared" si="33"/>
        <v>4626460.3124481058</v>
      </c>
      <c r="AU102" s="71">
        <f t="shared" si="33"/>
        <v>4166400.6814358858</v>
      </c>
      <c r="AV102" s="71">
        <f t="shared" si="33"/>
        <v>3693689.4105708296</v>
      </c>
      <c r="AW102" s="71">
        <f t="shared" si="33"/>
        <v>3207978.5797569845</v>
      </c>
      <c r="AX102" s="71">
        <f t="shared" si="33"/>
        <v>2708910.7010957585</v>
      </c>
      <c r="AY102" s="71">
        <f t="shared" si="33"/>
        <v>2196118.4557713489</v>
      </c>
      <c r="AZ102" s="71">
        <f t="shared" si="33"/>
        <v>1669224.423700518</v>
      </c>
      <c r="BA102" s="71">
        <f t="shared" si="33"/>
        <v>1127840.805747739</v>
      </c>
      <c r="BB102" s="71">
        <f t="shared" si="33"/>
        <v>571569.13830125879</v>
      </c>
      <c r="BC102" s="71">
        <f t="shared" si="33"/>
        <v>0</v>
      </c>
      <c r="BD102" s="71"/>
      <c r="BE102" s="71"/>
      <c r="BF102" s="71"/>
      <c r="BG102" s="71"/>
      <c r="BH102" s="71"/>
      <c r="BI102" s="71"/>
    </row>
    <row r="103" spans="1:61" ht="21">
      <c r="A103" s="43"/>
      <c r="B103" s="26" t="s">
        <v>32</v>
      </c>
      <c r="C103" s="27"/>
      <c r="D103" s="71">
        <f t="shared" si="30"/>
        <v>-2541162.5599928834</v>
      </c>
      <c r="AD103" s="71">
        <f>AD99*AD76</f>
        <v>-148200.39854434491</v>
      </c>
      <c r="AE103" s="71">
        <f t="shared" ref="AE103:BC103" si="34">AE99*AE76</f>
        <v>-142926.41387245146</v>
      </c>
      <c r="AF103" s="71">
        <f t="shared" si="34"/>
        <v>-137840.11367774277</v>
      </c>
      <c r="AG103" s="71">
        <f t="shared" si="34"/>
        <v>-132934.8188617444</v>
      </c>
      <c r="AH103" s="71">
        <f t="shared" si="34"/>
        <v>-128204.08801402683</v>
      </c>
      <c r="AI103" s="71">
        <f t="shared" si="34"/>
        <v>-123641.70895363757</v>
      </c>
      <c r="AJ103" s="71">
        <f t="shared" si="34"/>
        <v>-119241.69057154749</v>
      </c>
      <c r="AK103" s="71">
        <f t="shared" si="34"/>
        <v>-114998.25496339811</v>
      </c>
      <c r="AL103" s="71">
        <f t="shared" si="34"/>
        <v>-110905.82984222019</v>
      </c>
      <c r="AM103" s="71">
        <f t="shared" si="34"/>
        <v>-106959.04122115942</v>
      </c>
      <c r="AN103" s="71">
        <f t="shared" si="34"/>
        <v>-103152.70635660083</v>
      </c>
      <c r="AO103" s="71">
        <f t="shared" si="34"/>
        <v>-99481.826942425338</v>
      </c>
      <c r="AP103" s="71">
        <f t="shared" si="34"/>
        <v>-95941.582546460952</v>
      </c>
      <c r="AQ103" s="71">
        <f t="shared" si="34"/>
        <v>-92527.324280510133</v>
      </c>
      <c r="AR103" s="71">
        <f t="shared" si="34"/>
        <v>-89234.568695640977</v>
      </c>
      <c r="AS103" s="71">
        <f t="shared" si="34"/>
        <v>-86058.991894725608</v>
      </c>
      <c r="AT103" s="71">
        <f t="shared" si="34"/>
        <v>-82996.423854494758</v>
      </c>
      <c r="AU103" s="71">
        <f t="shared" si="34"/>
        <v>-80042.842949652593</v>
      </c>
      <c r="AV103" s="71">
        <f t="shared" si="34"/>
        <v>-77194.370671860903</v>
      </c>
      <c r="AW103" s="71">
        <f t="shared" si="34"/>
        <v>-74447.266536658222</v>
      </c>
      <c r="AX103" s="71">
        <f t="shared" si="34"/>
        <v>-71797.923171625269</v>
      </c>
      <c r="AY103" s="71">
        <f t="shared" si="34"/>
        <v>-69242.861579347329</v>
      </c>
      <c r="AZ103" s="71">
        <f t="shared" si="34"/>
        <v>-66778.726568952974</v>
      </c>
      <c r="BA103" s="71">
        <f t="shared" si="34"/>
        <v>-64402.282350229521</v>
      </c>
      <c r="BB103" s="71">
        <f t="shared" si="34"/>
        <v>-62110.408284530356</v>
      </c>
      <c r="BC103" s="71">
        <f t="shared" si="34"/>
        <v>-59900.094786893969</v>
      </c>
      <c r="BD103" s="71"/>
      <c r="BE103" s="71"/>
      <c r="BF103" s="71"/>
      <c r="BG103" s="71"/>
      <c r="BH103" s="71"/>
      <c r="BI103" s="71"/>
    </row>
    <row r="104" spans="1:61">
      <c r="A104" s="27"/>
      <c r="B104" s="27"/>
      <c r="C104" s="27" t="s">
        <v>29</v>
      </c>
      <c r="D104" s="71">
        <f t="shared" si="30"/>
        <v>-1702431.341071828</v>
      </c>
      <c r="AD104" s="71">
        <f>AD100*AD76</f>
        <v>-73201.802867170481</v>
      </c>
      <c r="AE104" s="71">
        <f t="shared" ref="AE104:BC104" si="35">AE100*AE76</f>
        <v>-72538.193119893593</v>
      </c>
      <c r="AF104" s="71">
        <f t="shared" si="35"/>
        <v>-71880.599315932748</v>
      </c>
      <c r="AG104" s="71">
        <f t="shared" si="35"/>
        <v>-71228.966917852158</v>
      </c>
      <c r="AH104" s="71">
        <f t="shared" si="35"/>
        <v>-70583.241882624279</v>
      </c>
      <c r="AI104" s="71">
        <f t="shared" si="35"/>
        <v>-69943.37065714768</v>
      </c>
      <c r="AJ104" s="71">
        <f t="shared" si="35"/>
        <v>-69309.300173805808</v>
      </c>
      <c r="AK104" s="71">
        <f t="shared" si="35"/>
        <v>-68680.977846065667</v>
      </c>
      <c r="AL104" s="71">
        <f t="shared" si="35"/>
        <v>-68058.351564116572</v>
      </c>
      <c r="AM104" s="71">
        <f t="shared" si="35"/>
        <v>-67441.369690548541</v>
      </c>
      <c r="AN104" s="71">
        <f t="shared" si="35"/>
        <v>-66829.981056069635</v>
      </c>
      <c r="AO104" s="71">
        <f t="shared" si="35"/>
        <v>-66224.134955262372</v>
      </c>
      <c r="AP104" s="71">
        <f t="shared" si="35"/>
        <v>-65623.781142378342</v>
      </c>
      <c r="AQ104" s="71">
        <f t="shared" si="35"/>
        <v>-65028.869827171147</v>
      </c>
      <c r="AR104" s="71">
        <f t="shared" si="35"/>
        <v>-64439.351670767028</v>
      </c>
      <c r="AS104" s="71">
        <f t="shared" si="35"/>
        <v>-63855.177781573089</v>
      </c>
      <c r="AT104" s="71">
        <f t="shared" si="35"/>
        <v>-63276.299711222258</v>
      </c>
      <c r="AU104" s="71">
        <f t="shared" si="35"/>
        <v>-62702.669450555382</v>
      </c>
      <c r="AV104" s="71">
        <f t="shared" si="35"/>
        <v>-62134.239425639542</v>
      </c>
      <c r="AW104" s="71">
        <f t="shared" si="35"/>
        <v>-61570.962493822575</v>
      </c>
      <c r="AX104" s="71">
        <f t="shared" si="35"/>
        <v>-61012.791939823233</v>
      </c>
      <c r="AY104" s="71">
        <f t="shared" si="35"/>
        <v>-60459.681471856842</v>
      </c>
      <c r="AZ104" s="71">
        <f t="shared" si="35"/>
        <v>-59911.58521779623</v>
      </c>
      <c r="BA104" s="71">
        <f t="shared" si="35"/>
        <v>-59368.457721367195</v>
      </c>
      <c r="BB104" s="71">
        <f t="shared" si="35"/>
        <v>-58830.253938378628</v>
      </c>
      <c r="BC104" s="71">
        <f t="shared" si="35"/>
        <v>-58296.929232986833</v>
      </c>
      <c r="BD104" s="71"/>
      <c r="BE104" s="71"/>
      <c r="BF104" s="71"/>
      <c r="BG104" s="71"/>
      <c r="BH104" s="71"/>
      <c r="BI104" s="71"/>
    </row>
    <row r="105" spans="1:61">
      <c r="A105" s="27"/>
      <c r="B105" s="27"/>
      <c r="C105" s="27" t="s">
        <v>30</v>
      </c>
      <c r="D105" s="71">
        <f t="shared" si="30"/>
        <v>-838731.21892105497</v>
      </c>
      <c r="AD105" s="71">
        <f>AD101*AD76</f>
        <v>-74998.595677174424</v>
      </c>
      <c r="AE105" s="71">
        <f t="shared" ref="AE105:BC105" si="36">AE101*AE76</f>
        <v>-70388.220752557871</v>
      </c>
      <c r="AF105" s="71">
        <f t="shared" si="36"/>
        <v>-65959.514361809997</v>
      </c>
      <c r="AG105" s="71">
        <f t="shared" si="36"/>
        <v>-61705.851943892223</v>
      </c>
      <c r="AH105" s="71">
        <f t="shared" si="36"/>
        <v>-57620.846131402534</v>
      </c>
      <c r="AI105" s="71">
        <f t="shared" si="36"/>
        <v>-53698.338296489877</v>
      </c>
      <c r="AJ105" s="71">
        <f t="shared" si="36"/>
        <v>-49932.390397741663</v>
      </c>
      <c r="AK105" s="71">
        <f t="shared" si="36"/>
        <v>-46317.277117332436</v>
      </c>
      <c r="AL105" s="71">
        <f t="shared" si="36"/>
        <v>-42847.478278103619</v>
      </c>
      <c r="AM105" s="71">
        <f t="shared" si="36"/>
        <v>-39517.671530610874</v>
      </c>
      <c r="AN105" s="71">
        <f t="shared" si="36"/>
        <v>-36322.72530053118</v>
      </c>
      <c r="AO105" s="71">
        <f t="shared" si="36"/>
        <v>-33257.691987162951</v>
      </c>
      <c r="AP105" s="71">
        <f t="shared" si="36"/>
        <v>-30317.801404082598</v>
      </c>
      <c r="AQ105" s="71">
        <f t="shared" si="36"/>
        <v>-27498.454453338985</v>
      </c>
      <c r="AR105" s="71">
        <f t="shared" si="36"/>
        <v>-24795.217024873931</v>
      </c>
      <c r="AS105" s="71">
        <f t="shared" si="36"/>
        <v>-22203.814113152508</v>
      </c>
      <c r="AT105" s="71">
        <f t="shared" si="36"/>
        <v>-19720.1241432725</v>
      </c>
      <c r="AU105" s="71">
        <f t="shared" si="36"/>
        <v>-17340.1734990972</v>
      </c>
      <c r="AV105" s="71">
        <f t="shared" si="36"/>
        <v>-15060.131246221354</v>
      </c>
      <c r="AW105" s="71">
        <f t="shared" si="36"/>
        <v>-12876.304042835633</v>
      </c>
      <c r="AX105" s="71">
        <f t="shared" si="36"/>
        <v>-10785.131231802019</v>
      </c>
      <c r="AY105" s="71">
        <f t="shared" si="36"/>
        <v>-8783.1801074904834</v>
      </c>
      <c r="AZ105" s="71">
        <f t="shared" si="36"/>
        <v>-6867.1413511567353</v>
      </c>
      <c r="BA105" s="71">
        <f t="shared" si="36"/>
        <v>-5033.8246288623204</v>
      </c>
      <c r="BB105" s="71">
        <f t="shared" si="36"/>
        <v>-3280.154346151724</v>
      </c>
      <c r="BC105" s="71">
        <f t="shared" si="36"/>
        <v>-1603.165553907138</v>
      </c>
      <c r="BD105" s="71"/>
      <c r="BE105" s="71"/>
      <c r="BF105" s="71"/>
      <c r="BG105" s="71"/>
      <c r="BH105" s="71"/>
      <c r="BI105" s="71"/>
    </row>
    <row r="109" spans="1:61" s="157" customFormat="1" ht="21">
      <c r="A109" s="158" t="s">
        <v>154</v>
      </c>
    </row>
    <row r="111" spans="1:61" ht="21">
      <c r="A111" s="357" t="s">
        <v>1</v>
      </c>
      <c r="B111" s="358"/>
      <c r="C111" s="358"/>
      <c r="D111" s="359"/>
      <c r="F111" s="321" t="s">
        <v>2</v>
      </c>
      <c r="G111" s="322"/>
    </row>
    <row r="112" spans="1:61">
      <c r="A112" s="55" t="s">
        <v>3</v>
      </c>
      <c r="B112" s="22"/>
      <c r="C112" s="22"/>
      <c r="D112" s="143">
        <f>Data!D29</f>
        <v>1998</v>
      </c>
      <c r="F112" s="6" t="s">
        <v>4</v>
      </c>
      <c r="G112" s="7">
        <f>D118</f>
        <v>18365000</v>
      </c>
    </row>
    <row r="113" spans="1:13">
      <c r="A113" s="4" t="s">
        <v>5</v>
      </c>
      <c r="B113" s="126"/>
      <c r="C113" s="126"/>
      <c r="D113" s="8">
        <f>Data!F29</f>
        <v>5.5E-2</v>
      </c>
      <c r="F113" s="6" t="s">
        <v>6</v>
      </c>
      <c r="G113" s="9">
        <f>D138*-1</f>
        <v>26811203.373206463</v>
      </c>
    </row>
    <row r="114" spans="1:13">
      <c r="A114" s="4" t="s">
        <v>7</v>
      </c>
      <c r="B114" s="126"/>
      <c r="C114" s="126"/>
      <c r="D114" s="10">
        <f>Data!G29</f>
        <v>8</v>
      </c>
      <c r="F114" s="11" t="s">
        <v>8</v>
      </c>
      <c r="G114" s="12">
        <f>D142*-1</f>
        <v>11564396.053693753</v>
      </c>
      <c r="I114" s="258"/>
      <c r="J114" s="258"/>
      <c r="K114" s="258"/>
      <c r="L114" s="258"/>
      <c r="M114" s="258"/>
    </row>
    <row r="115" spans="1:13">
      <c r="A115" s="4" t="s">
        <v>9</v>
      </c>
      <c r="B115" s="126"/>
      <c r="C115" s="126"/>
      <c r="D115" s="10">
        <f>Data!E29</f>
        <v>15</v>
      </c>
      <c r="I115" s="258"/>
      <c r="J115" s="258"/>
      <c r="K115" s="258"/>
      <c r="L115" s="258"/>
      <c r="M115" s="258"/>
    </row>
    <row r="116" spans="1:13">
      <c r="A116" s="4" t="s">
        <v>10</v>
      </c>
      <c r="B116" s="126"/>
      <c r="C116" s="126"/>
      <c r="D116" s="10">
        <v>2</v>
      </c>
      <c r="F116" s="321" t="s">
        <v>11</v>
      </c>
      <c r="G116" s="322"/>
      <c r="I116" s="288"/>
      <c r="J116" s="258"/>
      <c r="K116" s="258"/>
      <c r="L116" s="258"/>
      <c r="M116" s="258"/>
    </row>
    <row r="117" spans="1:13">
      <c r="A117" s="4" t="s">
        <v>12</v>
      </c>
      <c r="B117" s="126"/>
      <c r="C117" s="126"/>
      <c r="D117" s="10">
        <f>(D115-D114)*2</f>
        <v>14</v>
      </c>
      <c r="F117" s="6" t="s">
        <v>4</v>
      </c>
      <c r="G117" s="7">
        <f>D118</f>
        <v>18365000</v>
      </c>
      <c r="I117" s="289"/>
      <c r="J117" s="258"/>
      <c r="K117" s="258"/>
      <c r="L117" s="258"/>
      <c r="M117" s="258"/>
    </row>
    <row r="118" spans="1:13">
      <c r="A118" s="4" t="s">
        <v>152</v>
      </c>
      <c r="B118" s="126"/>
      <c r="C118" s="126"/>
      <c r="D118" s="147">
        <f>Data!B29</f>
        <v>18365000</v>
      </c>
      <c r="F118" s="6" t="s">
        <v>14</v>
      </c>
      <c r="G118" s="9">
        <f>D128</f>
        <v>15176228</v>
      </c>
      <c r="I118" s="290"/>
      <c r="J118" s="290"/>
      <c r="K118" s="290"/>
      <c r="L118" s="258"/>
      <c r="M118" s="258"/>
    </row>
    <row r="119" spans="1:13">
      <c r="A119" s="13" t="s">
        <v>15</v>
      </c>
      <c r="B119" s="14"/>
      <c r="C119" s="14"/>
      <c r="D119" s="195">
        <v>6.83E-2</v>
      </c>
      <c r="F119" s="6" t="s">
        <v>6</v>
      </c>
      <c r="G119" s="9">
        <f>D149*-1</f>
        <v>21442041.116235428</v>
      </c>
      <c r="I119" s="291"/>
      <c r="J119" s="291"/>
      <c r="K119" s="291"/>
      <c r="L119" s="258"/>
      <c r="M119" s="258"/>
    </row>
    <row r="120" spans="1:13">
      <c r="F120" s="11" t="s">
        <v>8</v>
      </c>
      <c r="G120" s="12">
        <f>D153*-1</f>
        <v>4435022.9315406848</v>
      </c>
      <c r="I120" s="291"/>
      <c r="J120" s="291"/>
      <c r="K120" s="291"/>
      <c r="L120" s="258"/>
      <c r="M120" s="258"/>
    </row>
    <row r="121" spans="1:13" ht="20.399999999999999">
      <c r="A121" s="354" t="s">
        <v>16</v>
      </c>
      <c r="B121" s="355"/>
      <c r="C121" s="355"/>
      <c r="D121" s="356"/>
      <c r="F121" s="16"/>
      <c r="I121" s="291"/>
      <c r="J121" s="291"/>
      <c r="K121" s="291"/>
      <c r="L121" s="258"/>
      <c r="M121" s="258"/>
    </row>
    <row r="122" spans="1:13">
      <c r="A122" s="132" t="s">
        <v>17</v>
      </c>
      <c r="B122" s="133"/>
      <c r="C122" s="133"/>
      <c r="D122" s="134">
        <f>Data!H29</f>
        <v>2011</v>
      </c>
      <c r="F122" s="323" t="s">
        <v>109</v>
      </c>
      <c r="G122" s="324"/>
      <c r="I122" s="291"/>
      <c r="J122" s="291"/>
      <c r="K122" s="291"/>
      <c r="L122" s="258"/>
      <c r="M122" s="258"/>
    </row>
    <row r="123" spans="1:13">
      <c r="A123" s="135" t="s">
        <v>5</v>
      </c>
      <c r="B123" s="136"/>
      <c r="C123" s="136"/>
      <c r="D123" s="145">
        <f>Data!N29</f>
        <v>2.75E-2</v>
      </c>
      <c r="F123" s="121" t="s">
        <v>44</v>
      </c>
      <c r="G123" s="118" t="s">
        <v>45</v>
      </c>
      <c r="I123" s="291"/>
      <c r="J123" s="291"/>
      <c r="K123" s="291"/>
      <c r="L123" s="258"/>
      <c r="M123" s="258"/>
    </row>
    <row r="124" spans="1:13">
      <c r="A124" s="135" t="s">
        <v>7</v>
      </c>
      <c r="B124" s="136"/>
      <c r="C124" s="136"/>
      <c r="D124" s="137">
        <f>Data!O29</f>
        <v>16</v>
      </c>
      <c r="F124" s="255">
        <f>(1-((D113/D116)/D129))*(1-(((1/((1+D129)^(D116*D114)))-(1/((1+D129)^(D116*D115))))/(D129*(D116*D115-D116*D114))))</f>
        <v>-4.9249221232713074E-2</v>
      </c>
      <c r="G124" s="256">
        <f>(1-((D123/D126)/D129))*(1-(((1/((1+D129)^(D126*D124)))-(1/((1+D129)^(D126*D125))))/(D129*(D126*D125-D126*D124))))+((D118-D128)/D118)</f>
        <v>0.46831792669418348</v>
      </c>
      <c r="I124" s="291"/>
      <c r="J124" s="292"/>
      <c r="K124" s="292"/>
      <c r="L124" s="258"/>
      <c r="M124" s="258"/>
    </row>
    <row r="125" spans="1:13">
      <c r="A125" s="135" t="s">
        <v>9</v>
      </c>
      <c r="B125" s="136"/>
      <c r="C125" s="136"/>
      <c r="D125" s="137">
        <f>Data!M29</f>
        <v>29</v>
      </c>
      <c r="I125" s="258"/>
      <c r="J125" s="258"/>
      <c r="K125" s="258"/>
      <c r="L125" s="258"/>
      <c r="M125" s="258"/>
    </row>
    <row r="126" spans="1:13">
      <c r="A126" s="135" t="s">
        <v>10</v>
      </c>
      <c r="B126" s="136"/>
      <c r="C126" s="136"/>
      <c r="D126" s="137">
        <v>2</v>
      </c>
      <c r="I126" s="258"/>
      <c r="J126" s="258"/>
      <c r="K126" s="258"/>
      <c r="L126" s="258"/>
      <c r="M126" s="258"/>
    </row>
    <row r="127" spans="1:13">
      <c r="A127" s="135" t="s">
        <v>12</v>
      </c>
      <c r="B127" s="136"/>
      <c r="C127" s="136"/>
      <c r="D127" s="137">
        <f>(D125-D124)*D126</f>
        <v>26</v>
      </c>
      <c r="I127" s="258"/>
      <c r="J127" s="258"/>
      <c r="K127" s="258"/>
      <c r="L127" s="258"/>
      <c r="M127" s="258"/>
    </row>
    <row r="128" spans="1:13">
      <c r="A128" s="135" t="s">
        <v>153</v>
      </c>
      <c r="B128" s="136"/>
      <c r="C128" s="136"/>
      <c r="D128" s="77">
        <f>Data!L29</f>
        <v>15176228</v>
      </c>
      <c r="F128" s="71"/>
      <c r="G128" s="71"/>
      <c r="H128" s="71"/>
      <c r="I128" s="258"/>
      <c r="J128" s="258"/>
      <c r="K128" s="258"/>
      <c r="L128" s="258"/>
      <c r="M128" s="258"/>
    </row>
    <row r="129" spans="1:55">
      <c r="A129" s="196" t="s">
        <v>187</v>
      </c>
      <c r="B129" s="14"/>
      <c r="C129" s="14"/>
      <c r="D129" s="195">
        <f>(1.05^0.5)-1</f>
        <v>2.4695076595959931E-2</v>
      </c>
      <c r="H129" s="71"/>
      <c r="I129" s="146"/>
    </row>
    <row r="131" spans="1:55" ht="46.8">
      <c r="A131" s="302" t="s">
        <v>43</v>
      </c>
      <c r="E131" s="53" t="s">
        <v>25</v>
      </c>
      <c r="P131" s="233" t="s">
        <v>89</v>
      </c>
      <c r="S131" s="21" t="s">
        <v>21</v>
      </c>
      <c r="U131" s="21" t="s">
        <v>40</v>
      </c>
      <c r="V131" s="51"/>
      <c r="AT131" s="21" t="s">
        <v>149</v>
      </c>
    </row>
    <row r="132" spans="1:55">
      <c r="A132" s="2" t="s">
        <v>23</v>
      </c>
      <c r="E132" s="139" t="s">
        <v>102</v>
      </c>
      <c r="F132" s="24">
        <v>38898</v>
      </c>
      <c r="G132" s="24">
        <v>39081</v>
      </c>
      <c r="H132" s="24">
        <v>39263</v>
      </c>
      <c r="I132" s="24">
        <v>39446</v>
      </c>
      <c r="J132" s="24">
        <v>39629</v>
      </c>
      <c r="K132" s="24">
        <v>39812</v>
      </c>
      <c r="L132" s="24">
        <v>39994</v>
      </c>
      <c r="M132" s="24">
        <v>40177</v>
      </c>
      <c r="N132" s="24">
        <v>40359</v>
      </c>
      <c r="O132" s="24">
        <v>40542</v>
      </c>
      <c r="P132" s="24">
        <v>40724</v>
      </c>
      <c r="Q132" s="24">
        <v>40907</v>
      </c>
      <c r="R132" s="24">
        <v>41090</v>
      </c>
      <c r="S132" s="24">
        <v>41273</v>
      </c>
      <c r="T132" s="24">
        <v>41455</v>
      </c>
      <c r="U132" s="24">
        <v>41638</v>
      </c>
      <c r="V132" s="24">
        <v>41820</v>
      </c>
      <c r="W132" s="24">
        <v>42003</v>
      </c>
      <c r="X132" s="24">
        <v>42185</v>
      </c>
      <c r="Y132" s="24">
        <v>42368</v>
      </c>
      <c r="Z132" s="24">
        <v>42551</v>
      </c>
      <c r="AA132" s="24">
        <v>42734</v>
      </c>
      <c r="AB132" s="24">
        <v>42916</v>
      </c>
      <c r="AC132" s="24">
        <v>43099</v>
      </c>
      <c r="AD132" s="24">
        <v>43281</v>
      </c>
      <c r="AE132" s="24">
        <v>43464</v>
      </c>
      <c r="AF132" s="24">
        <v>43646</v>
      </c>
      <c r="AG132" s="24">
        <v>43829</v>
      </c>
      <c r="AH132" s="24">
        <v>44012</v>
      </c>
      <c r="AI132" s="24">
        <v>44195</v>
      </c>
      <c r="AJ132" s="24">
        <v>44377</v>
      </c>
      <c r="AK132" s="24">
        <v>44560</v>
      </c>
      <c r="AL132" s="24">
        <v>44742</v>
      </c>
      <c r="AM132" s="24">
        <v>44925</v>
      </c>
      <c r="AN132" s="24">
        <v>45107</v>
      </c>
      <c r="AO132" s="24">
        <v>45290</v>
      </c>
      <c r="AP132" s="24">
        <v>45473</v>
      </c>
      <c r="AQ132" s="24">
        <v>45656</v>
      </c>
      <c r="AR132" s="24">
        <v>45838</v>
      </c>
      <c r="AS132" s="24">
        <v>46021</v>
      </c>
      <c r="AT132" s="24">
        <v>46203</v>
      </c>
      <c r="AU132" s="149"/>
      <c r="AV132" s="149"/>
      <c r="AW132" s="149"/>
      <c r="AX132" s="149"/>
      <c r="AY132" s="149"/>
      <c r="AZ132" s="149"/>
      <c r="BA132" s="149"/>
      <c r="BB132" s="149"/>
      <c r="BC132" s="149"/>
    </row>
    <row r="133" spans="1:55">
      <c r="A133" s="2" t="s">
        <v>38</v>
      </c>
      <c r="F133">
        <v>17</v>
      </c>
      <c r="G133">
        <v>18</v>
      </c>
      <c r="H133">
        <v>19</v>
      </c>
      <c r="I133">
        <v>20</v>
      </c>
      <c r="J133">
        <v>21</v>
      </c>
      <c r="K133">
        <v>22</v>
      </c>
      <c r="L133">
        <v>23</v>
      </c>
      <c r="M133">
        <v>24</v>
      </c>
      <c r="N133">
        <v>25</v>
      </c>
      <c r="O133">
        <v>26</v>
      </c>
      <c r="P133">
        <v>27</v>
      </c>
      <c r="Q133">
        <v>28</v>
      </c>
      <c r="R133">
        <v>29</v>
      </c>
      <c r="S133">
        <v>30</v>
      </c>
      <c r="T133">
        <v>31</v>
      </c>
      <c r="U133">
        <v>32</v>
      </c>
      <c r="V133">
        <v>33</v>
      </c>
      <c r="W133">
        <v>34</v>
      </c>
      <c r="X133">
        <v>35</v>
      </c>
      <c r="Y133">
        <v>36</v>
      </c>
      <c r="Z133">
        <v>37</v>
      </c>
      <c r="AA133">
        <v>38</v>
      </c>
      <c r="AB133">
        <v>39</v>
      </c>
      <c r="AC133">
        <v>40</v>
      </c>
      <c r="AD133">
        <v>41</v>
      </c>
      <c r="AE133">
        <v>42</v>
      </c>
      <c r="AF133">
        <v>43</v>
      </c>
      <c r="AG133">
        <v>44</v>
      </c>
      <c r="AH133">
        <v>45</v>
      </c>
      <c r="AI133">
        <v>46</v>
      </c>
      <c r="AJ133">
        <v>47</v>
      </c>
      <c r="AK133">
        <v>48</v>
      </c>
      <c r="AL133">
        <v>49</v>
      </c>
      <c r="AM133">
        <v>50</v>
      </c>
      <c r="AN133">
        <v>51</v>
      </c>
      <c r="AO133">
        <v>52</v>
      </c>
      <c r="AP133">
        <v>53</v>
      </c>
      <c r="AQ133">
        <v>54</v>
      </c>
      <c r="AR133">
        <v>55</v>
      </c>
      <c r="AS133">
        <v>56</v>
      </c>
      <c r="AT133">
        <v>57</v>
      </c>
      <c r="AU133" s="141"/>
      <c r="AV133" s="141"/>
      <c r="AW133" s="141"/>
      <c r="AX133" s="141"/>
      <c r="AY133" s="141"/>
      <c r="AZ133" s="141"/>
      <c r="BA133" s="141"/>
      <c r="BB133" s="141"/>
      <c r="BC133" s="141"/>
    </row>
    <row r="134" spans="1:55">
      <c r="A134" s="2" t="s">
        <v>26</v>
      </c>
      <c r="F134" s="138">
        <f t="shared" ref="F134:AT134" si="37">1/((1+($D$11/$D$8))^(F133))</f>
        <v>0.54009870240464941</v>
      </c>
      <c r="G134" s="138">
        <f t="shared" si="37"/>
        <v>0.52087829337896563</v>
      </c>
      <c r="H134" s="138">
        <f t="shared" si="37"/>
        <v>0.50234187807789143</v>
      </c>
      <c r="I134" s="138">
        <f t="shared" si="37"/>
        <v>0.48446511532249154</v>
      </c>
      <c r="J134" s="138">
        <f t="shared" si="37"/>
        <v>0.46722453015960219</v>
      </c>
      <c r="K134" s="138">
        <f t="shared" si="37"/>
        <v>0.450597483035589</v>
      </c>
      <c r="L134" s="138">
        <f t="shared" si="37"/>
        <v>0.43456214006711258</v>
      </c>
      <c r="M134" s="138">
        <f t="shared" si="37"/>
        <v>0.41909744436986451</v>
      </c>
      <c r="N134" s="138">
        <f t="shared" si="37"/>
        <v>0.40418308840762329</v>
      </c>
      <c r="O134" s="138">
        <f t="shared" si="37"/>
        <v>0.38979948732531905</v>
      </c>
      <c r="P134" s="138">
        <f t="shared" si="37"/>
        <v>0.37592775323109173</v>
      </c>
      <c r="Q134" s="138">
        <f t="shared" si="37"/>
        <v>0.36254967039356906</v>
      </c>
      <c r="R134" s="138">
        <f t="shared" si="37"/>
        <v>0.34964767132179486</v>
      </c>
      <c r="S134" s="138">
        <f t="shared" si="37"/>
        <v>0.33720481369639782</v>
      </c>
      <c r="T134" s="138">
        <f t="shared" si="37"/>
        <v>0.32520475812170685</v>
      </c>
      <c r="U134" s="138">
        <f t="shared" si="37"/>
        <v>0.31363174666959864</v>
      </c>
      <c r="V134" s="138">
        <f t="shared" si="37"/>
        <v>0.30247058218690198</v>
      </c>
      <c r="W134" s="138">
        <f t="shared" si="37"/>
        <v>0.29170660833918605</v>
      </c>
      <c r="X134" s="138">
        <f t="shared" si="37"/>
        <v>0.2813256903647276</v>
      </c>
      <c r="Y134" s="138">
        <f t="shared" si="37"/>
        <v>0.27131419651338373</v>
      </c>
      <c r="Z134" s="138">
        <f t="shared" si="37"/>
        <v>0.26165898014599648</v>
      </c>
      <c r="AA134" s="138">
        <f t="shared" si="37"/>
        <v>0.25234736247082312</v>
      </c>
      <c r="AB134" s="138">
        <f t="shared" si="37"/>
        <v>0.24336711589432264</v>
      </c>
      <c r="AC134" s="138">
        <f t="shared" si="37"/>
        <v>0.23470644796443499</v>
      </c>
      <c r="AD134" s="138">
        <f t="shared" si="37"/>
        <v>0.22635398588526856</v>
      </c>
      <c r="AE134" s="138">
        <f t="shared" si="37"/>
        <v>0.21829876158286105</v>
      </c>
      <c r="AF134" s="138">
        <f t="shared" si="37"/>
        <v>0.21053019730240236</v>
      </c>
      <c r="AG134" s="138">
        <f t="shared" si="37"/>
        <v>0.20303809171800788</v>
      </c>
      <c r="AH134" s="138">
        <f t="shared" si="37"/>
        <v>0.19581260653679999</v>
      </c>
      <c r="AI134" s="138">
        <f t="shared" si="37"/>
        <v>0.18884425357970874</v>
      </c>
      <c r="AJ134" s="138">
        <f t="shared" si="37"/>
        <v>0.182123882322026</v>
      </c>
      <c r="AK134" s="138">
        <f t="shared" si="37"/>
        <v>0.17564266787735169</v>
      </c>
      <c r="AL134" s="138">
        <f t="shared" si="37"/>
        <v>0.16939209940915392</v>
      </c>
      <c r="AM134" s="138">
        <f t="shared" si="37"/>
        <v>0.16336396895472463</v>
      </c>
      <c r="AN134" s="138">
        <f t="shared" si="37"/>
        <v>0.15755036064685565</v>
      </c>
      <c r="AO134" s="138">
        <f t="shared" si="37"/>
        <v>0.15194364031908153</v>
      </c>
      <c r="AP134" s="138">
        <f t="shared" si="37"/>
        <v>0.14653644548083861</v>
      </c>
      <c r="AQ134" s="138">
        <f t="shared" si="37"/>
        <v>0.14132167564937662</v>
      </c>
      <c r="AR134" s="138">
        <f t="shared" si="37"/>
        <v>0.1362924830257273</v>
      </c>
      <c r="AS134" s="138">
        <f t="shared" si="37"/>
        <v>0.13144226350248556</v>
      </c>
      <c r="AT134" s="138">
        <f t="shared" si="37"/>
        <v>0.12676464799159567</v>
      </c>
      <c r="AU134" s="150"/>
      <c r="AV134" s="150"/>
      <c r="AW134" s="150"/>
      <c r="AX134" s="150"/>
      <c r="AY134" s="150"/>
      <c r="AZ134" s="150"/>
      <c r="BA134" s="150"/>
      <c r="BB134" s="150"/>
      <c r="BC134" s="150"/>
    </row>
    <row r="135" spans="1:55">
      <c r="AU135" s="141"/>
      <c r="AV135" s="141"/>
      <c r="AW135" s="141"/>
      <c r="AX135" s="141"/>
      <c r="AY135" s="141"/>
      <c r="AZ135" s="141"/>
      <c r="BA135" s="141"/>
      <c r="BB135" s="141"/>
      <c r="BC135" s="141"/>
    </row>
    <row r="136" spans="1:55" ht="21">
      <c r="A136" s="29" t="s">
        <v>27</v>
      </c>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141"/>
      <c r="AV136" s="141"/>
      <c r="AW136" s="141"/>
      <c r="AX136" s="141"/>
      <c r="AY136" s="141"/>
      <c r="AZ136" s="141"/>
      <c r="BA136" s="141"/>
      <c r="BB136" s="141"/>
      <c r="BC136" s="141"/>
    </row>
    <row r="137" spans="1:55">
      <c r="A137" s="2" t="s">
        <v>37</v>
      </c>
      <c r="F137">
        <v>1</v>
      </c>
      <c r="G137">
        <v>2</v>
      </c>
      <c r="H137">
        <v>3</v>
      </c>
      <c r="I137">
        <v>4</v>
      </c>
      <c r="J137">
        <v>5</v>
      </c>
      <c r="K137">
        <v>6</v>
      </c>
      <c r="L137">
        <v>7</v>
      </c>
      <c r="M137">
        <v>8</v>
      </c>
      <c r="N137">
        <v>9</v>
      </c>
      <c r="O137">
        <v>10</v>
      </c>
      <c r="P137">
        <v>11</v>
      </c>
      <c r="Q137">
        <v>12</v>
      </c>
      <c r="R137">
        <v>13</v>
      </c>
      <c r="S137">
        <v>14</v>
      </c>
      <c r="AU137" s="141"/>
      <c r="AV137" s="141"/>
      <c r="AW137" s="141"/>
      <c r="AX137" s="141"/>
      <c r="AY137" s="141"/>
      <c r="AZ137" s="141"/>
      <c r="BA137" s="141"/>
      <c r="BB137" s="141"/>
      <c r="BC137" s="141"/>
    </row>
    <row r="138" spans="1:55">
      <c r="A138" s="27"/>
      <c r="B138" s="26" t="s">
        <v>28</v>
      </c>
      <c r="C138" s="27"/>
      <c r="D138" s="47">
        <f>SUM(F138:AT138)</f>
        <v>-26811203.373206463</v>
      </c>
      <c r="E138" s="71"/>
      <c r="F138" s="236">
        <f>PMT($D$113,$D$117,$D$118)</f>
        <v>-1915085.9552290335</v>
      </c>
      <c r="G138" s="148">
        <f t="shared" ref="G138:S138" si="38">PMT($D$113,$D$117,$D$118)</f>
        <v>-1915085.9552290335</v>
      </c>
      <c r="H138" s="148">
        <f t="shared" si="38"/>
        <v>-1915085.9552290335</v>
      </c>
      <c r="I138" s="148">
        <f t="shared" si="38"/>
        <v>-1915085.9552290335</v>
      </c>
      <c r="J138" s="148">
        <f t="shared" si="38"/>
        <v>-1915085.9552290335</v>
      </c>
      <c r="K138" s="148">
        <f t="shared" si="38"/>
        <v>-1915085.9552290335</v>
      </c>
      <c r="L138" s="148">
        <f t="shared" si="38"/>
        <v>-1915085.9552290335</v>
      </c>
      <c r="M138" s="148">
        <f t="shared" si="38"/>
        <v>-1915085.9552290335</v>
      </c>
      <c r="N138" s="148">
        <f t="shared" si="38"/>
        <v>-1915085.9552290335</v>
      </c>
      <c r="O138" s="148">
        <f t="shared" si="38"/>
        <v>-1915085.9552290335</v>
      </c>
      <c r="P138" s="148">
        <f t="shared" si="38"/>
        <v>-1915085.9552290335</v>
      </c>
      <c r="Q138" s="148">
        <f t="shared" si="38"/>
        <v>-1915085.9552290335</v>
      </c>
      <c r="R138" s="148">
        <f t="shared" si="38"/>
        <v>-1915085.9552290335</v>
      </c>
      <c r="S138" s="148">
        <f t="shared" si="38"/>
        <v>-1915085.9552290335</v>
      </c>
      <c r="T138" s="47"/>
      <c r="U138" s="47"/>
      <c r="V138" s="47"/>
      <c r="W138" s="47"/>
      <c r="AU138" s="141"/>
      <c r="AV138" s="141"/>
      <c r="AW138" s="141"/>
      <c r="AX138" s="141"/>
      <c r="AY138" s="141"/>
      <c r="AZ138" s="141"/>
      <c r="BA138" s="141"/>
      <c r="BB138" s="141"/>
      <c r="BC138" s="141"/>
    </row>
    <row r="139" spans="1:55">
      <c r="A139" s="27"/>
      <c r="B139" s="27"/>
      <c r="C139" s="27" t="s">
        <v>29</v>
      </c>
      <c r="D139" s="47">
        <f t="shared" ref="D139:D144" si="39">SUM(F139:AT139)</f>
        <v>-18365000</v>
      </c>
      <c r="E139" s="71"/>
      <c r="F139" s="236">
        <f>PPMT($D$113,F$137,$D$117,$D$118)</f>
        <v>-905010.95522903372</v>
      </c>
      <c r="G139" s="148">
        <f t="shared" ref="G139:S139" si="40">PPMT($D$113,G$137,$D$117,$D$118)</f>
        <v>-954786.55776663055</v>
      </c>
      <c r="H139" s="148">
        <f t="shared" si="40"/>
        <v>-1007299.818443795</v>
      </c>
      <c r="I139" s="148">
        <f t="shared" si="40"/>
        <v>-1062701.3084582039</v>
      </c>
      <c r="J139" s="148">
        <f t="shared" si="40"/>
        <v>-1121149.8804234052</v>
      </c>
      <c r="K139" s="148">
        <f t="shared" si="40"/>
        <v>-1182813.1238466925</v>
      </c>
      <c r="L139" s="148">
        <f t="shared" si="40"/>
        <v>-1247867.8456582604</v>
      </c>
      <c r="M139" s="148">
        <f t="shared" si="40"/>
        <v>-1316500.5771694649</v>
      </c>
      <c r="N139" s="148">
        <f t="shared" si="40"/>
        <v>-1388908.1089137855</v>
      </c>
      <c r="O139" s="148">
        <f t="shared" si="40"/>
        <v>-1465298.0549040434</v>
      </c>
      <c r="P139" s="148">
        <f t="shared" si="40"/>
        <v>-1545889.447923766</v>
      </c>
      <c r="Q139" s="148">
        <f t="shared" si="40"/>
        <v>-1630913.3675595731</v>
      </c>
      <c r="R139" s="148">
        <f t="shared" si="40"/>
        <v>-1720613.6027753495</v>
      </c>
      <c r="S139" s="148">
        <f t="shared" si="40"/>
        <v>-1815247.3509279939</v>
      </c>
      <c r="T139" s="47"/>
      <c r="U139" s="47"/>
      <c r="V139" s="47"/>
      <c r="W139" s="47"/>
      <c r="AU139" s="141"/>
      <c r="AV139" s="141"/>
      <c r="AW139" s="141"/>
      <c r="AX139" s="141"/>
      <c r="AY139" s="141"/>
      <c r="AZ139" s="141"/>
      <c r="BA139" s="141"/>
      <c r="BB139" s="141"/>
      <c r="BC139" s="141"/>
    </row>
    <row r="140" spans="1:55">
      <c r="A140" s="27"/>
      <c r="B140" s="27"/>
      <c r="C140" s="27" t="s">
        <v>30</v>
      </c>
      <c r="D140" s="47">
        <f t="shared" si="39"/>
        <v>-8446203.3732064702</v>
      </c>
      <c r="E140" s="71"/>
      <c r="F140" s="236">
        <f>IPMT($D$113,F$137,$D$117,$D$118)</f>
        <v>-1010075</v>
      </c>
      <c r="G140" s="148">
        <f t="shared" ref="G140:S140" si="41">IPMT($D$113,G$137,$D$117,$D$118)</f>
        <v>-960299.39746240305</v>
      </c>
      <c r="H140" s="148">
        <f t="shared" si="41"/>
        <v>-907786.13678523817</v>
      </c>
      <c r="I140" s="148">
        <f t="shared" si="41"/>
        <v>-852384.64677082957</v>
      </c>
      <c r="J140" s="148">
        <f t="shared" si="41"/>
        <v>-793936.07480562828</v>
      </c>
      <c r="K140" s="148">
        <f t="shared" si="41"/>
        <v>-732272.8313823411</v>
      </c>
      <c r="L140" s="148">
        <f t="shared" si="41"/>
        <v>-667218.10957077297</v>
      </c>
      <c r="M140" s="148">
        <f t="shared" si="41"/>
        <v>-598585.37805956858</v>
      </c>
      <c r="N140" s="148">
        <f t="shared" si="41"/>
        <v>-526177.84631524829</v>
      </c>
      <c r="O140" s="148">
        <f t="shared" si="41"/>
        <v>-449787.90032498998</v>
      </c>
      <c r="P140" s="148">
        <f t="shared" si="41"/>
        <v>-369196.5073052675</v>
      </c>
      <c r="Q140" s="148">
        <f t="shared" si="41"/>
        <v>-284172.58766946039</v>
      </c>
      <c r="R140" s="148">
        <f t="shared" si="41"/>
        <v>-194472.35245368388</v>
      </c>
      <c r="S140" s="148">
        <f t="shared" si="41"/>
        <v>-99838.604301039653</v>
      </c>
      <c r="T140" s="47"/>
      <c r="U140" s="47"/>
      <c r="V140" s="47"/>
      <c r="W140" s="47"/>
      <c r="AU140" s="141"/>
      <c r="AV140" s="141"/>
      <c r="AW140" s="141"/>
      <c r="AX140" s="141"/>
      <c r="AY140" s="141"/>
      <c r="AZ140" s="141"/>
      <c r="BA140" s="141"/>
      <c r="BB140" s="141"/>
      <c r="BC140" s="141"/>
    </row>
    <row r="141" spans="1:55">
      <c r="A141" s="27"/>
      <c r="B141" s="33" t="s">
        <v>31</v>
      </c>
      <c r="C141" s="33"/>
      <c r="D141" s="47"/>
      <c r="E141" s="71">
        <f>D118</f>
        <v>18365000</v>
      </c>
      <c r="F141" s="71">
        <f>E141+F139</f>
        <v>17459989.044770967</v>
      </c>
      <c r="G141" s="71">
        <f t="shared" ref="G141:S141" si="42">F141+G139</f>
        <v>16505202.487004336</v>
      </c>
      <c r="H141" s="71">
        <f t="shared" si="42"/>
        <v>15497902.66856054</v>
      </c>
      <c r="I141" s="71">
        <f t="shared" si="42"/>
        <v>14435201.360102337</v>
      </c>
      <c r="J141" s="71">
        <f t="shared" si="42"/>
        <v>13314051.479678933</v>
      </c>
      <c r="K141" s="71">
        <f t="shared" si="42"/>
        <v>12131238.35583224</v>
      </c>
      <c r="L141" s="71">
        <f t="shared" si="42"/>
        <v>10883370.51017398</v>
      </c>
      <c r="M141" s="71">
        <f t="shared" si="42"/>
        <v>9566869.9330045152</v>
      </c>
      <c r="N141" s="71">
        <f t="shared" si="42"/>
        <v>8177961.8240907295</v>
      </c>
      <c r="O141" s="71">
        <f t="shared" si="42"/>
        <v>6712663.7691866858</v>
      </c>
      <c r="P141" s="71">
        <f t="shared" si="42"/>
        <v>5166774.3212629203</v>
      </c>
      <c r="Q141" s="71">
        <f t="shared" si="42"/>
        <v>3535860.9537033471</v>
      </c>
      <c r="R141" s="71">
        <f t="shared" si="42"/>
        <v>1815247.3509279976</v>
      </c>
      <c r="S141" s="71">
        <f t="shared" si="42"/>
        <v>3.7252902984619141E-9</v>
      </c>
      <c r="T141" s="71"/>
      <c r="U141" s="71"/>
      <c r="V141" s="71"/>
      <c r="W141" s="71"/>
      <c r="AU141" s="141"/>
      <c r="AV141" s="141"/>
      <c r="AW141" s="141"/>
      <c r="AX141" s="141"/>
      <c r="AY141" s="141"/>
      <c r="AZ141" s="141"/>
      <c r="BA141" s="141"/>
      <c r="BB141" s="141"/>
      <c r="BC141" s="141"/>
    </row>
    <row r="142" spans="1:55">
      <c r="A142" s="27"/>
      <c r="B142" s="26" t="s">
        <v>32</v>
      </c>
      <c r="C142" s="27"/>
      <c r="D142" s="47">
        <f t="shared" si="39"/>
        <v>-11564396.053693753</v>
      </c>
      <c r="E142" s="71"/>
      <c r="F142" s="71">
        <f>F138*F134</f>
        <v>-1034335.4394125695</v>
      </c>
      <c r="G142" s="71">
        <f t="shared" ref="G142:S142" si="43">G138*G134</f>
        <v>-997526.70403372508</v>
      </c>
      <c r="H142" s="71">
        <f t="shared" si="43"/>
        <v>-962027.87543034542</v>
      </c>
      <c r="I142" s="71">
        <f t="shared" si="43"/>
        <v>-927792.33815251756</v>
      </c>
      <c r="J142" s="71">
        <f t="shared" si="43"/>
        <v>-894775.13564713812</v>
      </c>
      <c r="K142" s="71">
        <f t="shared" si="43"/>
        <v>-862932.91122300911</v>
      </c>
      <c r="L142" s="71">
        <f t="shared" si="43"/>
        <v>-832223.85111679928</v>
      </c>
      <c r="M142" s="71">
        <f t="shared" si="43"/>
        <v>-802607.62958510872</v>
      </c>
      <c r="N142" s="71">
        <f t="shared" si="43"/>
        <v>-774045.35595053411</v>
      </c>
      <c r="O142" s="71">
        <f t="shared" si="43"/>
        <v>-746499.52353219618</v>
      </c>
      <c r="P142" s="71">
        <f t="shared" si="43"/>
        <v>-719933.96039366967</v>
      </c>
      <c r="Q142" s="71">
        <f t="shared" si="43"/>
        <v>-694313.78184363944</v>
      </c>
      <c r="R142" s="71">
        <f t="shared" si="43"/>
        <v>-669605.34462690668</v>
      </c>
      <c r="S142" s="71">
        <f t="shared" si="43"/>
        <v>-645776.20274559432</v>
      </c>
      <c r="T142" s="71"/>
      <c r="U142" s="71"/>
      <c r="V142" s="71"/>
      <c r="W142" s="71"/>
      <c r="AU142" s="141"/>
      <c r="AV142" s="141"/>
      <c r="AW142" s="141"/>
      <c r="AX142" s="141"/>
      <c r="AY142" s="141"/>
      <c r="AZ142" s="141"/>
      <c r="BA142" s="141"/>
      <c r="BB142" s="141"/>
      <c r="BC142" s="141"/>
    </row>
    <row r="143" spans="1:55">
      <c r="A143" s="27"/>
      <c r="B143" s="27"/>
      <c r="C143" s="27" t="s">
        <v>29</v>
      </c>
      <c r="D143" s="47">
        <f t="shared" si="39"/>
        <v>-7676487.0559753925</v>
      </c>
      <c r="E143" s="71"/>
      <c r="F143" s="71">
        <f>F139*F134</f>
        <v>-488795.24258119339</v>
      </c>
      <c r="G143" s="71">
        <f t="shared" ref="G143:S143" si="44">G139*G134</f>
        <v>-497327.59275065968</v>
      </c>
      <c r="H143" s="71">
        <f t="shared" si="44"/>
        <v>-506008.88258457504</v>
      </c>
      <c r="I143" s="71">
        <f t="shared" si="44"/>
        <v>-514841.71195556642</v>
      </c>
      <c r="J143" s="71">
        <f t="shared" si="44"/>
        <v>-523828.72611931968</v>
      </c>
      <c r="K143" s="71">
        <f t="shared" si="44"/>
        <v>-532972.61650678201</v>
      </c>
      <c r="L143" s="71">
        <f t="shared" si="44"/>
        <v>-542276.12153019093</v>
      </c>
      <c r="M143" s="71">
        <f t="shared" si="44"/>
        <v>-551742.02740317432</v>
      </c>
      <c r="N143" s="71">
        <f t="shared" si="44"/>
        <v>-561373.16897516546</v>
      </c>
      <c r="O143" s="71">
        <f t="shared" si="44"/>
        <v>-571172.43058038328</v>
      </c>
      <c r="P143" s="71">
        <f t="shared" si="44"/>
        <v>-581142.74690163415</v>
      </c>
      <c r="Q143" s="71">
        <f t="shared" si="44"/>
        <v>-591287.10384918901</v>
      </c>
      <c r="R143" s="71">
        <f t="shared" si="44"/>
        <v>-601608.53945500473</v>
      </c>
      <c r="S143" s="71">
        <f t="shared" si="44"/>
        <v>-612110.14478255389</v>
      </c>
      <c r="T143" s="71"/>
      <c r="U143" s="71"/>
      <c r="V143" s="71"/>
      <c r="W143" s="71"/>
      <c r="AU143" s="141"/>
      <c r="AV143" s="141"/>
      <c r="AW143" s="141"/>
      <c r="AX143" s="141"/>
      <c r="AY143" s="141"/>
      <c r="AZ143" s="141"/>
      <c r="BA143" s="141"/>
      <c r="BB143" s="141"/>
      <c r="BC143" s="141"/>
    </row>
    <row r="144" spans="1:55">
      <c r="A144" s="27"/>
      <c r="B144" s="27"/>
      <c r="C144" s="27" t="s">
        <v>30</v>
      </c>
      <c r="D144" s="47">
        <f t="shared" si="39"/>
        <v>-3887908.9977183612</v>
      </c>
      <c r="E144" s="71"/>
      <c r="F144" s="71">
        <f>F140*F134</f>
        <v>-545540.19683137629</v>
      </c>
      <c r="G144" s="71">
        <f t="shared" ref="G144:S144" si="45">G140*G134</f>
        <v>-500199.11128306552</v>
      </c>
      <c r="H144" s="71">
        <f t="shared" si="45"/>
        <v>-456018.9928457702</v>
      </c>
      <c r="I144" s="71">
        <f t="shared" si="45"/>
        <v>-412950.62619695114</v>
      </c>
      <c r="J144" s="71">
        <f t="shared" si="45"/>
        <v>-370946.40952781844</v>
      </c>
      <c r="K144" s="71">
        <f t="shared" si="45"/>
        <v>-329960.29471622716</v>
      </c>
      <c r="L144" s="71">
        <f t="shared" si="45"/>
        <v>-289947.7295866083</v>
      </c>
      <c r="M144" s="71">
        <f t="shared" si="45"/>
        <v>-250865.60218193437</v>
      </c>
      <c r="N144" s="71">
        <f t="shared" si="45"/>
        <v>-212672.18697536882</v>
      </c>
      <c r="O144" s="71">
        <f t="shared" si="45"/>
        <v>-175327.09295181281</v>
      </c>
      <c r="P144" s="71">
        <f t="shared" si="45"/>
        <v>-138791.21349203555</v>
      </c>
      <c r="Q144" s="71">
        <f t="shared" si="45"/>
        <v>-103026.67799445047</v>
      </c>
      <c r="R144" s="71">
        <f t="shared" si="45"/>
        <v>-67996.805171901913</v>
      </c>
      <c r="S144" s="71">
        <f t="shared" si="45"/>
        <v>-33666.057963040461</v>
      </c>
      <c r="T144" s="71"/>
      <c r="U144" s="71"/>
      <c r="V144" s="71"/>
      <c r="W144" s="71"/>
      <c r="AU144" s="141"/>
      <c r="AV144" s="141"/>
      <c r="AW144" s="141"/>
      <c r="AX144" s="141"/>
      <c r="AY144" s="141"/>
      <c r="AZ144" s="141"/>
      <c r="BA144" s="141"/>
      <c r="BB144" s="141"/>
      <c r="BC144" s="141"/>
    </row>
    <row r="145" spans="1:55">
      <c r="AU145" s="141"/>
      <c r="AV145" s="141"/>
      <c r="AW145" s="141"/>
      <c r="AX145" s="141"/>
      <c r="AY145" s="141"/>
      <c r="AZ145" s="141"/>
      <c r="BA145" s="141"/>
      <c r="BB145" s="141"/>
      <c r="BC145" s="141"/>
    </row>
    <row r="146" spans="1:55" ht="21">
      <c r="A146" s="29" t="s">
        <v>33</v>
      </c>
      <c r="B146" s="30"/>
      <c r="C146" s="30"/>
      <c r="D146" s="30"/>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141"/>
      <c r="AV146" s="141"/>
      <c r="AW146" s="141"/>
      <c r="AX146" s="141"/>
      <c r="AY146" s="141"/>
      <c r="AZ146" s="141"/>
      <c r="BA146" s="141"/>
      <c r="BB146" s="141"/>
      <c r="BC146" s="141"/>
    </row>
    <row r="147" spans="1:55">
      <c r="A147" s="36" t="s">
        <v>150</v>
      </c>
      <c r="B147" s="44"/>
      <c r="C147" s="37"/>
      <c r="D147" s="37"/>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141"/>
      <c r="AV147" s="141"/>
      <c r="AW147" s="141"/>
      <c r="AX147" s="141"/>
      <c r="AY147" s="141"/>
      <c r="AZ147" s="141"/>
      <c r="BA147" s="141"/>
      <c r="BB147" s="141"/>
      <c r="BC147" s="141"/>
    </row>
    <row r="148" spans="1:55">
      <c r="A148" s="140" t="s">
        <v>24</v>
      </c>
      <c r="B148" s="141"/>
      <c r="C148" s="142"/>
      <c r="D148" s="142"/>
      <c r="E148" s="141" t="s">
        <v>25</v>
      </c>
      <c r="F148" s="141" t="s">
        <v>25</v>
      </c>
      <c r="G148" s="141" t="s">
        <v>25</v>
      </c>
      <c r="H148" s="141" t="s">
        <v>25</v>
      </c>
      <c r="I148" s="141" t="s">
        <v>25</v>
      </c>
      <c r="J148" s="141" t="s">
        <v>25</v>
      </c>
      <c r="K148" s="141" t="s">
        <v>25</v>
      </c>
      <c r="L148" s="141" t="s">
        <v>25</v>
      </c>
      <c r="M148" s="141" t="s">
        <v>25</v>
      </c>
      <c r="N148" s="141" t="s">
        <v>25</v>
      </c>
      <c r="O148" s="141" t="s">
        <v>25</v>
      </c>
      <c r="P148" s="141" t="s">
        <v>25</v>
      </c>
      <c r="Q148" s="141" t="s">
        <v>25</v>
      </c>
      <c r="R148" s="141" t="s">
        <v>25</v>
      </c>
      <c r="S148" s="141" t="s">
        <v>25</v>
      </c>
      <c r="T148" s="141" t="s">
        <v>25</v>
      </c>
      <c r="U148" s="141">
        <v>1</v>
      </c>
      <c r="V148" s="141">
        <v>2</v>
      </c>
      <c r="W148" s="141">
        <v>3</v>
      </c>
      <c r="X148" s="141">
        <v>4</v>
      </c>
      <c r="Y148" s="141">
        <v>5</v>
      </c>
      <c r="Z148" s="141">
        <v>6</v>
      </c>
      <c r="AA148" s="141">
        <v>7</v>
      </c>
      <c r="AB148" s="141">
        <v>8</v>
      </c>
      <c r="AC148" s="141">
        <v>9</v>
      </c>
      <c r="AD148" s="141">
        <v>10</v>
      </c>
      <c r="AE148" s="141">
        <v>11</v>
      </c>
      <c r="AF148" s="141">
        <v>12</v>
      </c>
      <c r="AG148" s="141">
        <v>13</v>
      </c>
      <c r="AH148" s="141">
        <v>14</v>
      </c>
      <c r="AI148" s="141">
        <v>15</v>
      </c>
      <c r="AJ148" s="141">
        <v>16</v>
      </c>
      <c r="AK148" s="141">
        <v>17</v>
      </c>
      <c r="AL148" s="141">
        <v>18</v>
      </c>
      <c r="AM148" s="141">
        <v>19</v>
      </c>
      <c r="AN148" s="141">
        <v>20</v>
      </c>
      <c r="AO148" s="141">
        <v>21</v>
      </c>
      <c r="AP148" s="141">
        <v>22</v>
      </c>
      <c r="AQ148" s="141">
        <v>23</v>
      </c>
      <c r="AR148" s="141">
        <v>24</v>
      </c>
      <c r="AS148" s="141">
        <v>25</v>
      </c>
      <c r="AT148" s="141">
        <v>26</v>
      </c>
      <c r="AU148" s="141"/>
      <c r="AV148" s="141"/>
      <c r="AW148" s="141"/>
      <c r="AX148" s="141"/>
      <c r="AY148" s="141"/>
      <c r="AZ148" s="141"/>
      <c r="BA148" s="141"/>
      <c r="BB148" s="141"/>
      <c r="BC148" s="141"/>
    </row>
    <row r="149" spans="1:55">
      <c r="A149" s="41"/>
      <c r="B149" s="26" t="s">
        <v>28</v>
      </c>
      <c r="C149" s="27"/>
      <c r="D149" s="71">
        <f>SUM(F149:AT149)</f>
        <v>-21442041.116235428</v>
      </c>
      <c r="U149" s="47">
        <f>PMT($D$123,$D$127,$D$128)</f>
        <v>-824693.88908597769</v>
      </c>
      <c r="V149" s="71">
        <f t="shared" ref="V149:AT149" si="46">PMT($D$123,$D$127,$D$128)</f>
        <v>-824693.88908597769</v>
      </c>
      <c r="W149" s="71">
        <f t="shared" si="46"/>
        <v>-824693.88908597769</v>
      </c>
      <c r="X149" s="71">
        <f t="shared" si="46"/>
        <v>-824693.88908597769</v>
      </c>
      <c r="Y149" s="71">
        <f t="shared" si="46"/>
        <v>-824693.88908597769</v>
      </c>
      <c r="Z149" s="71">
        <f t="shared" si="46"/>
        <v>-824693.88908597769</v>
      </c>
      <c r="AA149" s="71">
        <f t="shared" si="46"/>
        <v>-824693.88908597769</v>
      </c>
      <c r="AB149" s="71">
        <f t="shared" si="46"/>
        <v>-824693.88908597769</v>
      </c>
      <c r="AC149" s="71">
        <f t="shared" si="46"/>
        <v>-824693.88908597769</v>
      </c>
      <c r="AD149" s="71">
        <f t="shared" si="46"/>
        <v>-824693.88908597769</v>
      </c>
      <c r="AE149" s="71">
        <f t="shared" si="46"/>
        <v>-824693.88908597769</v>
      </c>
      <c r="AF149" s="71">
        <f t="shared" si="46"/>
        <v>-824693.88908597769</v>
      </c>
      <c r="AG149" s="71">
        <f t="shared" si="46"/>
        <v>-824693.88908597769</v>
      </c>
      <c r="AH149" s="71">
        <f t="shared" si="46"/>
        <v>-824693.88908597769</v>
      </c>
      <c r="AI149" s="71">
        <f t="shared" si="46"/>
        <v>-824693.88908597769</v>
      </c>
      <c r="AJ149" s="71">
        <f t="shared" si="46"/>
        <v>-824693.88908597769</v>
      </c>
      <c r="AK149" s="71">
        <f t="shared" si="46"/>
        <v>-824693.88908597769</v>
      </c>
      <c r="AL149" s="71">
        <f t="shared" si="46"/>
        <v>-824693.88908597769</v>
      </c>
      <c r="AM149" s="71">
        <f t="shared" si="46"/>
        <v>-824693.88908597769</v>
      </c>
      <c r="AN149" s="71">
        <f t="shared" si="46"/>
        <v>-824693.88908597769</v>
      </c>
      <c r="AO149" s="71">
        <f t="shared" si="46"/>
        <v>-824693.88908597769</v>
      </c>
      <c r="AP149" s="71">
        <f t="shared" si="46"/>
        <v>-824693.88908597769</v>
      </c>
      <c r="AQ149" s="71">
        <f t="shared" si="46"/>
        <v>-824693.88908597769</v>
      </c>
      <c r="AR149" s="71">
        <f t="shared" si="46"/>
        <v>-824693.88908597769</v>
      </c>
      <c r="AS149" s="71">
        <f t="shared" si="46"/>
        <v>-824693.88908597769</v>
      </c>
      <c r="AT149" s="71">
        <f t="shared" si="46"/>
        <v>-824693.88908597769</v>
      </c>
      <c r="AU149" s="141"/>
      <c r="AV149" s="141"/>
      <c r="AW149" s="141"/>
      <c r="AX149" s="141"/>
      <c r="AY149" s="141"/>
      <c r="AZ149" s="141"/>
      <c r="BA149" s="141"/>
      <c r="BB149" s="141"/>
      <c r="BC149" s="141"/>
    </row>
    <row r="150" spans="1:55">
      <c r="A150" s="41"/>
      <c r="B150" s="27"/>
      <c r="C150" s="27" t="s">
        <v>29</v>
      </c>
      <c r="D150" s="71">
        <f t="shared" ref="D150:D155" si="47">SUM(F150:AT150)</f>
        <v>-15176227.999999994</v>
      </c>
      <c r="U150" s="47">
        <f>PPMT($D$123,U$148,$D$127,$D$128)</f>
        <v>-407347.61908597773</v>
      </c>
      <c r="V150" s="71">
        <f t="shared" ref="V150:AT150" si="48">PPMT($D$123,V$148,$D$127,$D$128)</f>
        <v>-418549.67861084209</v>
      </c>
      <c r="W150" s="71">
        <f t="shared" si="48"/>
        <v>-430059.79477264022</v>
      </c>
      <c r="X150" s="71">
        <f t="shared" si="48"/>
        <v>-441886.4391288879</v>
      </c>
      <c r="Y150" s="71">
        <f t="shared" si="48"/>
        <v>-454038.31620493229</v>
      </c>
      <c r="Z150" s="71">
        <f t="shared" si="48"/>
        <v>-466524.36990056786</v>
      </c>
      <c r="AA150" s="71">
        <f t="shared" si="48"/>
        <v>-479353.79007283354</v>
      </c>
      <c r="AB150" s="71">
        <f t="shared" si="48"/>
        <v>-492536.01929983654</v>
      </c>
      <c r="AC150" s="71">
        <f t="shared" si="48"/>
        <v>-506080.75983058201</v>
      </c>
      <c r="AD150" s="71">
        <f t="shared" si="48"/>
        <v>-519997.98072592291</v>
      </c>
      <c r="AE150" s="71">
        <f t="shared" si="48"/>
        <v>-534297.92519588582</v>
      </c>
      <c r="AF150" s="71">
        <f t="shared" si="48"/>
        <v>-548991.11813877267</v>
      </c>
      <c r="AG150" s="71">
        <f t="shared" si="48"/>
        <v>-564088.37388758885</v>
      </c>
      <c r="AH150" s="71">
        <f t="shared" si="48"/>
        <v>-579600.8041694978</v>
      </c>
      <c r="AI150" s="71">
        <f t="shared" si="48"/>
        <v>-595539.82628415886</v>
      </c>
      <c r="AJ150" s="71">
        <f t="shared" si="48"/>
        <v>-611917.17150697322</v>
      </c>
      <c r="AK150" s="71">
        <f t="shared" si="48"/>
        <v>-628744.89372341509</v>
      </c>
      <c r="AL150" s="71">
        <f t="shared" si="48"/>
        <v>-646035.37830080895</v>
      </c>
      <c r="AM150" s="71">
        <f t="shared" si="48"/>
        <v>-663801.35120408121</v>
      </c>
      <c r="AN150" s="71">
        <f t="shared" si="48"/>
        <v>-682055.88836219336</v>
      </c>
      <c r="AO150" s="71">
        <f t="shared" si="48"/>
        <v>-700812.42529215373</v>
      </c>
      <c r="AP150" s="71">
        <f t="shared" si="48"/>
        <v>-720084.76698768791</v>
      </c>
      <c r="AQ150" s="71">
        <f t="shared" si="48"/>
        <v>-739887.09807984927</v>
      </c>
      <c r="AR150" s="71">
        <f t="shared" si="48"/>
        <v>-760233.9932770452</v>
      </c>
      <c r="AS150" s="71">
        <f t="shared" si="48"/>
        <v>-781140.42809216399</v>
      </c>
      <c r="AT150" s="71">
        <f t="shared" si="48"/>
        <v>-802621.78986469854</v>
      </c>
    </row>
    <row r="151" spans="1:55">
      <c r="A151" s="41"/>
      <c r="B151" s="27"/>
      <c r="C151" s="27" t="s">
        <v>30</v>
      </c>
      <c r="D151" s="71">
        <f t="shared" si="47"/>
        <v>-6265813.116235422</v>
      </c>
      <c r="U151" s="47">
        <f>IPMT($D$123,U$148,$D$127,$D$128)</f>
        <v>-417346.27</v>
      </c>
      <c r="V151" s="71">
        <f t="shared" ref="V151:AT151" si="49">IPMT($D$123,V$148,$D$127,$D$128)</f>
        <v>-406144.21047513565</v>
      </c>
      <c r="W151" s="71">
        <f t="shared" si="49"/>
        <v>-394634.09431333747</v>
      </c>
      <c r="X151" s="71">
        <f t="shared" si="49"/>
        <v>-382807.44995708979</v>
      </c>
      <c r="Y151" s="71">
        <f t="shared" si="49"/>
        <v>-370655.57288104534</v>
      </c>
      <c r="Z151" s="71">
        <f t="shared" si="49"/>
        <v>-358169.51918540971</v>
      </c>
      <c r="AA151" s="71">
        <f t="shared" si="49"/>
        <v>-345340.09901314415</v>
      </c>
      <c r="AB151" s="71">
        <f t="shared" si="49"/>
        <v>-332157.86978614121</v>
      </c>
      <c r="AC151" s="71">
        <f t="shared" si="49"/>
        <v>-318613.12925539567</v>
      </c>
      <c r="AD151" s="71">
        <f t="shared" si="49"/>
        <v>-304695.90836005472</v>
      </c>
      <c r="AE151" s="71">
        <f t="shared" si="49"/>
        <v>-290395.96389009181</v>
      </c>
      <c r="AF151" s="71">
        <f t="shared" si="49"/>
        <v>-275702.77094720496</v>
      </c>
      <c r="AG151" s="71">
        <f t="shared" si="49"/>
        <v>-260605.51519838869</v>
      </c>
      <c r="AH151" s="71">
        <f t="shared" si="49"/>
        <v>-245093.08491648</v>
      </c>
      <c r="AI151" s="71">
        <f t="shared" si="49"/>
        <v>-229154.0628018188</v>
      </c>
      <c r="AJ151" s="71">
        <f t="shared" si="49"/>
        <v>-212776.71757900444</v>
      </c>
      <c r="AK151" s="71">
        <f t="shared" si="49"/>
        <v>-195948.99536256271</v>
      </c>
      <c r="AL151" s="71">
        <f t="shared" si="49"/>
        <v>-178658.51078516876</v>
      </c>
      <c r="AM151" s="71">
        <f t="shared" si="49"/>
        <v>-160892.53788189651</v>
      </c>
      <c r="AN151" s="71">
        <f t="shared" si="49"/>
        <v>-142638.00072378429</v>
      </c>
      <c r="AO151" s="71">
        <f t="shared" si="49"/>
        <v>-123881.46379382398</v>
      </c>
      <c r="AP151" s="71">
        <f t="shared" si="49"/>
        <v>-104609.12209828976</v>
      </c>
      <c r="AQ151" s="71">
        <f t="shared" si="49"/>
        <v>-84806.791006128333</v>
      </c>
      <c r="AR151" s="71">
        <f t="shared" si="49"/>
        <v>-64459.895808932466</v>
      </c>
      <c r="AS151" s="71">
        <f t="shared" si="49"/>
        <v>-43553.460993813722</v>
      </c>
      <c r="AT151" s="71">
        <f t="shared" si="49"/>
        <v>-22072.099221279212</v>
      </c>
    </row>
    <row r="152" spans="1:55">
      <c r="A152" s="41"/>
      <c r="B152" s="33" t="s">
        <v>31</v>
      </c>
      <c r="C152" s="42"/>
      <c r="D152" s="71"/>
      <c r="T152" s="130">
        <f>D128</f>
        <v>15176228</v>
      </c>
      <c r="U152" s="71">
        <f>T152+U150</f>
        <v>14768880.380914023</v>
      </c>
      <c r="V152" s="71">
        <f t="shared" ref="V152:AT152" si="50">U152+V150</f>
        <v>14350330.70230318</v>
      </c>
      <c r="W152" s="71">
        <f t="shared" si="50"/>
        <v>13920270.907530541</v>
      </c>
      <c r="X152" s="71">
        <f t="shared" si="50"/>
        <v>13478384.468401652</v>
      </c>
      <c r="Y152" s="71">
        <f t="shared" si="50"/>
        <v>13024346.15219672</v>
      </c>
      <c r="Z152" s="71">
        <f t="shared" si="50"/>
        <v>12557821.782296153</v>
      </c>
      <c r="AA152" s="71">
        <f t="shared" si="50"/>
        <v>12078467.992223319</v>
      </c>
      <c r="AB152" s="71">
        <f t="shared" si="50"/>
        <v>11585931.972923482</v>
      </c>
      <c r="AC152" s="71">
        <f t="shared" si="50"/>
        <v>11079851.213092899</v>
      </c>
      <c r="AD152" s="71">
        <f t="shared" si="50"/>
        <v>10559853.232366975</v>
      </c>
      <c r="AE152" s="71">
        <f t="shared" si="50"/>
        <v>10025555.30717109</v>
      </c>
      <c r="AF152" s="71">
        <f t="shared" si="50"/>
        <v>9476564.1890323162</v>
      </c>
      <c r="AG152" s="71">
        <f t="shared" si="50"/>
        <v>8912475.815144727</v>
      </c>
      <c r="AH152" s="71">
        <f t="shared" si="50"/>
        <v>8332875.0109752296</v>
      </c>
      <c r="AI152" s="71">
        <f t="shared" si="50"/>
        <v>7737335.1846910706</v>
      </c>
      <c r="AJ152" s="71">
        <f t="shared" si="50"/>
        <v>7125418.0131840976</v>
      </c>
      <c r="AK152" s="71">
        <f t="shared" si="50"/>
        <v>6496673.1194606824</v>
      </c>
      <c r="AL152" s="71">
        <f t="shared" si="50"/>
        <v>5850637.7411598731</v>
      </c>
      <c r="AM152" s="71">
        <f t="shared" si="50"/>
        <v>5186836.3899557916</v>
      </c>
      <c r="AN152" s="71">
        <f t="shared" si="50"/>
        <v>4504780.5015935982</v>
      </c>
      <c r="AO152" s="71">
        <f t="shared" si="50"/>
        <v>3803968.0763014443</v>
      </c>
      <c r="AP152" s="71">
        <f t="shared" si="50"/>
        <v>3083883.3093137564</v>
      </c>
      <c r="AQ152" s="71">
        <f t="shared" si="50"/>
        <v>2343996.2112339074</v>
      </c>
      <c r="AR152" s="71">
        <f t="shared" si="50"/>
        <v>1583762.2179568622</v>
      </c>
      <c r="AS152" s="71">
        <f t="shared" si="50"/>
        <v>802621.78986469819</v>
      </c>
      <c r="AT152" s="71">
        <f t="shared" si="50"/>
        <v>0</v>
      </c>
    </row>
    <row r="153" spans="1:55" ht="21">
      <c r="A153" s="43"/>
      <c r="B153" s="26" t="s">
        <v>32</v>
      </c>
      <c r="C153" s="27"/>
      <c r="D153" s="71">
        <f t="shared" si="47"/>
        <v>-4435022.9315406848</v>
      </c>
      <c r="U153" s="71">
        <f>U149*U134</f>
        <v>-258650.18490177943</v>
      </c>
      <c r="V153" s="71">
        <f t="shared" ref="V153:AT153" si="51">V149*V134</f>
        <v>-249445.64075781603</v>
      </c>
      <c r="W153" s="71">
        <f t="shared" si="51"/>
        <v>-240568.65730332345</v>
      </c>
      <c r="X153" s="71">
        <f t="shared" si="51"/>
        <v>-232007.57768668476</v>
      </c>
      <c r="Y153" s="71">
        <f t="shared" si="51"/>
        <v>-223751.15988685965</v>
      </c>
      <c r="Z153" s="71">
        <f t="shared" si="51"/>
        <v>-215788.56195087245</v>
      </c>
      <c r="AA153" s="71">
        <f t="shared" si="51"/>
        <v>-208109.32775665203</v>
      </c>
      <c r="AB153" s="71">
        <f t="shared" si="51"/>
        <v>-200703.37328252679</v>
      </c>
      <c r="AC153" s="71">
        <f t="shared" si="51"/>
        <v>-193560.97336534553</v>
      </c>
      <c r="AD153" s="71">
        <f t="shared" si="51"/>
        <v>-186672.74892983463</v>
      </c>
      <c r="AE153" s="71">
        <f t="shared" si="51"/>
        <v>-180029.6546724223</v>
      </c>
      <c r="AF153" s="71">
        <f t="shared" si="51"/>
        <v>-173622.96718335641</v>
      </c>
      <c r="AG153" s="71">
        <f t="shared" si="51"/>
        <v>-167444.27349151936</v>
      </c>
      <c r="AH153" s="71">
        <f t="shared" si="51"/>
        <v>-161485.46001689593</v>
      </c>
      <c r="AI153" s="71">
        <f t="shared" si="51"/>
        <v>-155738.70191618855</v>
      </c>
      <c r="AJ153" s="71">
        <f t="shared" si="51"/>
        <v>-150196.45280758856</v>
      </c>
      <c r="AK153" s="71">
        <f t="shared" si="51"/>
        <v>-144851.43486120988</v>
      </c>
      <c r="AL153" s="71">
        <f t="shared" si="51"/>
        <v>-139696.62924217369</v>
      </c>
      <c r="AM153" s="71">
        <f t="shared" si="51"/>
        <v>-134725.26689379278</v>
      </c>
      <c r="AN153" s="71">
        <f t="shared" si="51"/>
        <v>-129930.81964875376</v>
      </c>
      <c r="AO153" s="71">
        <f t="shared" si="51"/>
        <v>-125306.9916566243</v>
      </c>
      <c r="AP153" s="71">
        <f t="shared" si="51"/>
        <v>-120847.71111642812</v>
      </c>
      <c r="AQ153" s="71">
        <f t="shared" si="51"/>
        <v>-116547.12230343152</v>
      </c>
      <c r="AR153" s="71">
        <f t="shared" si="51"/>
        <v>-112399.57787967165</v>
      </c>
      <c r="AS153" s="71">
        <f t="shared" si="51"/>
        <v>-108399.63147812868</v>
      </c>
      <c r="AT153" s="71">
        <f t="shared" si="51"/>
        <v>-104542.030550804</v>
      </c>
    </row>
    <row r="154" spans="1:55">
      <c r="A154" s="27"/>
      <c r="B154" s="27"/>
      <c r="C154" s="27" t="s">
        <v>29</v>
      </c>
      <c r="D154" s="71">
        <f t="shared" si="47"/>
        <v>-2971207.80696858</v>
      </c>
      <c r="U154" s="71">
        <f>U150*U134</f>
        <v>-127757.14527563754</v>
      </c>
      <c r="V154" s="71">
        <f t="shared" ref="V154:AT154" si="52">V150*V134</f>
        <v>-126598.96496356212</v>
      </c>
      <c r="W154" s="71">
        <f t="shared" si="52"/>
        <v>-125451.28411617329</v>
      </c>
      <c r="X154" s="71">
        <f t="shared" si="52"/>
        <v>-124314.00755074556</v>
      </c>
      <c r="Y154" s="71">
        <f t="shared" si="52"/>
        <v>-123187.04094743085</v>
      </c>
      <c r="Z154" s="71">
        <f t="shared" si="52"/>
        <v>-122070.2908414362</v>
      </c>
      <c r="AA154" s="71">
        <f t="shared" si="52"/>
        <v>-120963.66461527218</v>
      </c>
      <c r="AB154" s="71">
        <f t="shared" si="52"/>
        <v>-119867.07049107164</v>
      </c>
      <c r="AC154" s="71">
        <f t="shared" si="52"/>
        <v>-118780.41752297821</v>
      </c>
      <c r="AD154" s="71">
        <f t="shared" si="52"/>
        <v>-117703.61558960371</v>
      </c>
      <c r="AE154" s="71">
        <f t="shared" si="52"/>
        <v>-116636.575386554</v>
      </c>
      <c r="AF154" s="71">
        <f t="shared" si="52"/>
        <v>-115579.2084190223</v>
      </c>
      <c r="AG154" s="71">
        <f t="shared" si="52"/>
        <v>-114531.42699445019</v>
      </c>
      <c r="AH154" s="71">
        <f t="shared" si="52"/>
        <v>-113493.14421525474</v>
      </c>
      <c r="AI154" s="71">
        <f t="shared" si="52"/>
        <v>-112464.27397162138</v>
      </c>
      <c r="AJ154" s="71">
        <f t="shared" si="52"/>
        <v>-111444.73093436299</v>
      </c>
      <c r="AK154" s="71">
        <f t="shared" si="52"/>
        <v>-110434.43054784258</v>
      </c>
      <c r="AL154" s="71">
        <f t="shared" si="52"/>
        <v>-109433.28902296099</v>
      </c>
      <c r="AM154" s="71">
        <f t="shared" si="52"/>
        <v>-108441.22333020778</v>
      </c>
      <c r="AN154" s="71">
        <f t="shared" si="52"/>
        <v>-107458.15119277508</v>
      </c>
      <c r="AO154" s="71">
        <f t="shared" si="52"/>
        <v>-106483.9910797342</v>
      </c>
      <c r="AP154" s="71">
        <f t="shared" si="52"/>
        <v>-105518.66219927371</v>
      </c>
      <c r="AQ154" s="71">
        <f t="shared" si="52"/>
        <v>-104562.08449199896</v>
      </c>
      <c r="AR154" s="71">
        <f t="shared" si="52"/>
        <v>-103614.17862429256</v>
      </c>
      <c r="AS154" s="71">
        <f t="shared" si="52"/>
        <v>-102674.86598173459</v>
      </c>
      <c r="AT154" s="71">
        <f t="shared" si="52"/>
        <v>-101744.06866258298</v>
      </c>
    </row>
    <row r="155" spans="1:55">
      <c r="A155" s="27"/>
      <c r="B155" s="27"/>
      <c r="C155" s="27" t="s">
        <v>30</v>
      </c>
      <c r="D155" s="71">
        <f t="shared" si="47"/>
        <v>-1463815.1245721038</v>
      </c>
      <c r="U155" s="71">
        <f>U151*U134</f>
        <v>-130893.03962614192</v>
      </c>
      <c r="V155" s="71">
        <f t="shared" ref="V155:AT155" si="53">V151*V134</f>
        <v>-122846.67579425394</v>
      </c>
      <c r="W155" s="71">
        <f t="shared" si="53"/>
        <v>-115117.37318715014</v>
      </c>
      <c r="X155" s="71">
        <f t="shared" si="53"/>
        <v>-107693.5701359392</v>
      </c>
      <c r="Y155" s="71">
        <f t="shared" si="53"/>
        <v>-100564.11893942876</v>
      </c>
      <c r="Z155" s="71">
        <f t="shared" si="53"/>
        <v>-93718.271109436217</v>
      </c>
      <c r="AA155" s="71">
        <f t="shared" si="53"/>
        <v>-87145.663141379831</v>
      </c>
      <c r="AB155" s="71">
        <f t="shared" si="53"/>
        <v>-80836.302791455149</v>
      </c>
      <c r="AC155" s="71">
        <f t="shared" si="53"/>
        <v>-74780.555842367321</v>
      </c>
      <c r="AD155" s="71">
        <f t="shared" si="53"/>
        <v>-68969.13334023091</v>
      </c>
      <c r="AE155" s="71">
        <f t="shared" si="53"/>
        <v>-63393.079285868276</v>
      </c>
      <c r="AF155" s="71">
        <f t="shared" si="53"/>
        <v>-58043.758764334103</v>
      </c>
      <c r="AG155" s="71">
        <f t="shared" si="53"/>
        <v>-52912.846497069142</v>
      </c>
      <c r="AH155" s="71">
        <f t="shared" si="53"/>
        <v>-47992.315801641205</v>
      </c>
      <c r="AI155" s="71">
        <f t="shared" si="53"/>
        <v>-43274.427944567171</v>
      </c>
      <c r="AJ155" s="71">
        <f t="shared" si="53"/>
        <v>-38751.721873225564</v>
      </c>
      <c r="AK155" s="71">
        <f t="shared" si="53"/>
        <v>-34417.004313367332</v>
      </c>
      <c r="AL155" s="71">
        <f t="shared" si="53"/>
        <v>-30263.340219212707</v>
      </c>
      <c r="AM155" s="71">
        <f t="shared" si="53"/>
        <v>-26284.043563584997</v>
      </c>
      <c r="AN155" s="71">
        <f t="shared" si="53"/>
        <v>-22472.668455978674</v>
      </c>
      <c r="AO155" s="71">
        <f t="shared" si="53"/>
        <v>-18823.00057689011</v>
      </c>
      <c r="AP155" s="71">
        <f t="shared" si="53"/>
        <v>-15329.048917154427</v>
      </c>
      <c r="AQ155" s="71">
        <f t="shared" si="53"/>
        <v>-11985.037811432538</v>
      </c>
      <c r="AR155" s="71">
        <f t="shared" si="53"/>
        <v>-8785.3992553790777</v>
      </c>
      <c r="AS155" s="71">
        <f t="shared" si="53"/>
        <v>-5724.7654963940895</v>
      </c>
      <c r="AT155" s="71">
        <f t="shared" si="53"/>
        <v>-2797.9618882210325</v>
      </c>
    </row>
  </sheetData>
  <mergeCells count="15">
    <mergeCell ref="A3:D3"/>
    <mergeCell ref="F3:G3"/>
    <mergeCell ref="F8:G8"/>
    <mergeCell ref="A13:D13"/>
    <mergeCell ref="F14:G14"/>
    <mergeCell ref="A52:D52"/>
    <mergeCell ref="F52:G52"/>
    <mergeCell ref="F57:G57"/>
    <mergeCell ref="A62:D62"/>
    <mergeCell ref="F63:G63"/>
    <mergeCell ref="A111:D111"/>
    <mergeCell ref="F111:G111"/>
    <mergeCell ref="F116:G116"/>
    <mergeCell ref="A121:D121"/>
    <mergeCell ref="F122:G122"/>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040C-0CCB-654B-8852-D00CC1A47DD1}">
  <sheetPr>
    <tabColor rgb="FF00B0F0"/>
  </sheetPr>
  <dimension ref="A1:AR114"/>
  <sheetViews>
    <sheetView workbookViewId="0">
      <selection activeCell="B24" sqref="B24"/>
    </sheetView>
  </sheetViews>
  <sheetFormatPr defaultColWidth="11.19921875" defaultRowHeight="15.6"/>
  <cols>
    <col min="3" max="3" width="16.796875" customWidth="1"/>
    <col min="4" max="4" width="21.296875" customWidth="1"/>
    <col min="5" max="5" width="26.796875" customWidth="1"/>
    <col min="6" max="6" width="19.296875" customWidth="1"/>
    <col min="7" max="43" width="15.796875" customWidth="1"/>
  </cols>
  <sheetData>
    <row r="1" spans="1:12" s="168" customFormat="1" ht="21">
      <c r="A1" s="167" t="s">
        <v>155</v>
      </c>
    </row>
    <row r="3" spans="1:12" ht="21">
      <c r="A3" s="347" t="s">
        <v>1</v>
      </c>
      <c r="B3" s="348"/>
      <c r="C3" s="348"/>
      <c r="D3" s="349"/>
      <c r="F3" s="321" t="s">
        <v>2</v>
      </c>
      <c r="G3" s="322"/>
    </row>
    <row r="4" spans="1:12">
      <c r="A4" s="55" t="s">
        <v>3</v>
      </c>
      <c r="B4" s="22"/>
      <c r="C4" s="22"/>
      <c r="D4" s="131">
        <f>Data!D30</f>
        <v>2009</v>
      </c>
      <c r="F4" s="6" t="s">
        <v>4</v>
      </c>
      <c r="G4" s="7">
        <f>D10</f>
        <v>21423458</v>
      </c>
    </row>
    <row r="5" spans="1:12">
      <c r="A5" s="4" t="s">
        <v>5</v>
      </c>
      <c r="B5" s="126"/>
      <c r="C5" s="126"/>
      <c r="D5" s="8">
        <f>Data!F30</f>
        <v>2.75E-2</v>
      </c>
      <c r="F5" s="6" t="s">
        <v>6</v>
      </c>
      <c r="G5" s="9">
        <f>D31*-1</f>
        <v>27792274.917170271</v>
      </c>
    </row>
    <row r="6" spans="1:12">
      <c r="A6" s="4" t="s">
        <v>7</v>
      </c>
      <c r="B6" s="126"/>
      <c r="C6" s="126"/>
      <c r="D6" s="10">
        <f>Data!G30</f>
        <v>4.5</v>
      </c>
      <c r="F6" s="11" t="s">
        <v>8</v>
      </c>
      <c r="G6" s="12">
        <f>D35*-1</f>
        <v>18527957.986537255</v>
      </c>
    </row>
    <row r="7" spans="1:12">
      <c r="A7" s="4" t="s">
        <v>9</v>
      </c>
      <c r="B7" s="126"/>
      <c r="C7" s="126"/>
      <c r="D7" s="10">
        <f>Data!E30</f>
        <v>14</v>
      </c>
      <c r="I7" s="258"/>
      <c r="J7" s="258"/>
      <c r="K7" s="258"/>
      <c r="L7" s="258"/>
    </row>
    <row r="8" spans="1:12">
      <c r="A8" s="4" t="s">
        <v>10</v>
      </c>
      <c r="B8" s="126"/>
      <c r="C8" s="126"/>
      <c r="D8" s="10">
        <v>2</v>
      </c>
      <c r="F8" s="321" t="s">
        <v>11</v>
      </c>
      <c r="G8" s="322"/>
      <c r="I8" s="288"/>
      <c r="J8" s="258"/>
      <c r="K8" s="258"/>
      <c r="L8" s="258"/>
    </row>
    <row r="9" spans="1:12">
      <c r="A9" s="4" t="s">
        <v>12</v>
      </c>
      <c r="B9" s="126"/>
      <c r="C9" s="126"/>
      <c r="D9" s="10">
        <f>(D7-D6)*2</f>
        <v>19</v>
      </c>
      <c r="F9" s="6" t="s">
        <v>4</v>
      </c>
      <c r="G9" s="7">
        <f>D10</f>
        <v>21423458</v>
      </c>
      <c r="I9" s="289"/>
      <c r="J9" s="258"/>
      <c r="K9" s="258"/>
      <c r="L9" s="258"/>
    </row>
    <row r="10" spans="1:12">
      <c r="A10" s="4" t="s">
        <v>156</v>
      </c>
      <c r="B10" s="126"/>
      <c r="C10" s="126"/>
      <c r="D10" s="147">
        <f>Data!B30</f>
        <v>21423458</v>
      </c>
      <c r="F10" s="6" t="s">
        <v>31</v>
      </c>
      <c r="G10" s="9">
        <f>D21</f>
        <v>13355384</v>
      </c>
      <c r="I10" s="290"/>
      <c r="J10" s="290"/>
      <c r="K10" s="290"/>
      <c r="L10" s="258"/>
    </row>
    <row r="11" spans="1:12">
      <c r="A11" s="13" t="s">
        <v>15</v>
      </c>
      <c r="B11" s="14"/>
      <c r="C11" s="14"/>
      <c r="D11" s="195">
        <v>4.3900000000000002E-2</v>
      </c>
      <c r="F11" s="6" t="s">
        <v>6</v>
      </c>
      <c r="G11" s="9">
        <f>(D50+D42)*-1</f>
        <v>22343893.783053447</v>
      </c>
      <c r="I11" s="291"/>
      <c r="J11" s="291"/>
      <c r="K11" s="291"/>
      <c r="L11" s="258"/>
    </row>
    <row r="12" spans="1:12">
      <c r="F12" s="11" t="s">
        <v>8</v>
      </c>
      <c r="G12" s="12">
        <f>(D54+D45)*-1</f>
        <v>12367757.558850776</v>
      </c>
      <c r="I12" s="291"/>
      <c r="J12" s="291"/>
      <c r="K12" s="291"/>
      <c r="L12" s="258"/>
    </row>
    <row r="13" spans="1:12" ht="20.399999999999999">
      <c r="A13" s="354" t="s">
        <v>16</v>
      </c>
      <c r="B13" s="355"/>
      <c r="C13" s="355"/>
      <c r="D13" s="356"/>
      <c r="F13" s="16"/>
      <c r="I13" s="291"/>
      <c r="J13" s="291"/>
      <c r="K13" s="291"/>
      <c r="L13" s="258"/>
    </row>
    <row r="14" spans="1:12">
      <c r="A14" s="132" t="s">
        <v>17</v>
      </c>
      <c r="B14" s="133"/>
      <c r="C14" s="133"/>
      <c r="D14" s="134">
        <f>Data!H30</f>
        <v>2015</v>
      </c>
      <c r="F14" s="323" t="s">
        <v>109</v>
      </c>
      <c r="G14" s="324"/>
      <c r="I14" s="291"/>
      <c r="J14" s="291"/>
      <c r="K14" s="291"/>
      <c r="L14" s="258"/>
    </row>
    <row r="15" spans="1:12">
      <c r="A15" s="135" t="s">
        <v>5</v>
      </c>
      <c r="B15" s="136"/>
      <c r="C15" s="136"/>
      <c r="D15" s="145">
        <f>Data!N30</f>
        <v>2.75E-2</v>
      </c>
      <c r="F15" s="121" t="s">
        <v>44</v>
      </c>
      <c r="G15" s="118" t="s">
        <v>45</v>
      </c>
      <c r="I15" s="291"/>
      <c r="J15" s="291"/>
      <c r="K15" s="291"/>
      <c r="L15" s="258"/>
    </row>
    <row r="16" spans="1:12">
      <c r="A16" s="135" t="s">
        <v>7</v>
      </c>
      <c r="B16" s="136"/>
      <c r="C16" s="136"/>
      <c r="D16" s="137">
        <f>Data!O30</f>
        <v>4.5</v>
      </c>
      <c r="F16" s="119">
        <f>(1-((D5/D8)/D22))*(1-(((1/((1+D22)^(D8*D6)))-(1/((1+D22)^(D8*D7))))/(D22*(D8*D7-D8*D6))))</f>
        <v>0.16190219655339114</v>
      </c>
      <c r="G16" s="122">
        <f>(1-((D15/D18)/D22))*(1-(((1/((1+D22)^(D18*D16)))-(1/((1+D22)^(D18*D17))))/(D22*(D18*D17-D18*D16))))+((Data!K30)/D10)</f>
        <v>0.53766484009253868</v>
      </c>
      <c r="I16" s="291"/>
      <c r="J16" s="292"/>
      <c r="K16" s="292"/>
      <c r="L16" s="258"/>
    </row>
    <row r="17" spans="1:44">
      <c r="A17" s="135" t="s">
        <v>9</v>
      </c>
      <c r="B17" s="136"/>
      <c r="C17" s="136"/>
      <c r="D17" s="137">
        <f>Data!M30</f>
        <v>23.5</v>
      </c>
      <c r="I17" s="258"/>
      <c r="J17" s="258"/>
      <c r="K17" s="258"/>
      <c r="L17" s="258"/>
    </row>
    <row r="18" spans="1:44">
      <c r="A18" s="135" t="s">
        <v>10</v>
      </c>
      <c r="B18" s="136"/>
      <c r="C18" s="136"/>
      <c r="D18" s="137">
        <v>2</v>
      </c>
      <c r="I18" s="258"/>
      <c r="J18" s="258"/>
      <c r="K18" s="258"/>
      <c r="L18" s="258"/>
    </row>
    <row r="19" spans="1:44">
      <c r="A19" s="135" t="s">
        <v>12</v>
      </c>
      <c r="B19" s="136"/>
      <c r="C19" s="136"/>
      <c r="D19" s="137">
        <f>(D17-D16)*D18</f>
        <v>38</v>
      </c>
      <c r="I19" s="258"/>
      <c r="J19" s="258"/>
      <c r="K19" s="258"/>
      <c r="L19" s="258"/>
    </row>
    <row r="20" spans="1:44">
      <c r="A20" s="135" t="s">
        <v>170</v>
      </c>
      <c r="B20" s="136"/>
      <c r="C20" s="136"/>
      <c r="D20" s="164">
        <f>Data!I30</f>
        <v>1135443.274</v>
      </c>
      <c r="I20" s="258"/>
      <c r="J20" s="258"/>
      <c r="K20" s="258"/>
      <c r="L20" s="258"/>
    </row>
    <row r="21" spans="1:44">
      <c r="A21" s="135" t="s">
        <v>263</v>
      </c>
      <c r="B21" s="136"/>
      <c r="C21" s="136"/>
      <c r="D21" s="151">
        <f>Data!L30</f>
        <v>13355384</v>
      </c>
    </row>
    <row r="22" spans="1:44">
      <c r="A22" s="196" t="s">
        <v>187</v>
      </c>
      <c r="B22" s="14"/>
      <c r="C22" s="14"/>
      <c r="D22" s="195">
        <f>(1.05^0.5)-1</f>
        <v>2.4695076595959931E-2</v>
      </c>
    </row>
    <row r="24" spans="1:44" ht="46.8">
      <c r="A24" s="302" t="s">
        <v>43</v>
      </c>
      <c r="E24" s="53" t="s">
        <v>25</v>
      </c>
      <c r="G24" s="51"/>
      <c r="H24" s="21" t="s">
        <v>40</v>
      </c>
      <c r="W24" s="51"/>
      <c r="X24" s="21" t="s">
        <v>21</v>
      </c>
      <c r="AQ24" s="21" t="s">
        <v>149</v>
      </c>
    </row>
    <row r="25" spans="1:44">
      <c r="A25" s="2" t="s">
        <v>23</v>
      </c>
      <c r="E25" s="139" t="s">
        <v>220</v>
      </c>
      <c r="F25" s="24">
        <v>41820</v>
      </c>
      <c r="G25" s="24">
        <v>42004</v>
      </c>
      <c r="H25" s="24">
        <v>42185</v>
      </c>
      <c r="I25" s="24">
        <v>42369</v>
      </c>
      <c r="J25" s="24">
        <v>42551</v>
      </c>
      <c r="K25" s="24">
        <v>42735</v>
      </c>
      <c r="L25" s="24">
        <v>42916</v>
      </c>
      <c r="M25" s="24">
        <v>43100</v>
      </c>
      <c r="N25" s="24">
        <v>43281</v>
      </c>
      <c r="O25" s="24">
        <v>43465</v>
      </c>
      <c r="P25" s="24">
        <v>43646</v>
      </c>
      <c r="Q25" s="24">
        <v>43830</v>
      </c>
      <c r="R25" s="24">
        <v>44012</v>
      </c>
      <c r="S25" s="24">
        <v>44196</v>
      </c>
      <c r="T25" s="24">
        <v>44377</v>
      </c>
      <c r="U25" s="24">
        <v>44561</v>
      </c>
      <c r="V25" s="24">
        <v>44742</v>
      </c>
      <c r="W25" s="24">
        <v>44926</v>
      </c>
      <c r="X25" s="24">
        <v>45107</v>
      </c>
      <c r="Y25" s="24">
        <v>45291</v>
      </c>
      <c r="Z25" s="24">
        <v>45473</v>
      </c>
      <c r="AA25" s="24">
        <v>45657</v>
      </c>
      <c r="AB25" s="24">
        <v>45838</v>
      </c>
      <c r="AC25" s="24">
        <v>46022</v>
      </c>
      <c r="AD25" s="24">
        <v>46203</v>
      </c>
      <c r="AE25" s="24">
        <v>46387</v>
      </c>
      <c r="AF25" s="24">
        <v>46568</v>
      </c>
      <c r="AG25" s="24">
        <v>46752</v>
      </c>
      <c r="AH25" s="24">
        <v>46934</v>
      </c>
      <c r="AI25" s="24">
        <v>47118</v>
      </c>
      <c r="AJ25" s="24">
        <v>47299</v>
      </c>
      <c r="AK25" s="24">
        <v>47483</v>
      </c>
      <c r="AL25" s="24">
        <v>47664</v>
      </c>
      <c r="AM25" s="24">
        <v>47848</v>
      </c>
      <c r="AN25" s="24">
        <v>48029</v>
      </c>
      <c r="AO25" s="24">
        <v>48213</v>
      </c>
      <c r="AP25" s="24">
        <v>48395</v>
      </c>
      <c r="AQ25" s="24">
        <v>48579</v>
      </c>
      <c r="AR25" s="24"/>
    </row>
    <row r="26" spans="1:44">
      <c r="A26" s="2" t="s">
        <v>38</v>
      </c>
      <c r="F26">
        <v>10</v>
      </c>
      <c r="G26">
        <v>11</v>
      </c>
      <c r="H26">
        <v>12</v>
      </c>
      <c r="I26">
        <v>13</v>
      </c>
      <c r="J26">
        <v>14</v>
      </c>
      <c r="K26">
        <v>15</v>
      </c>
      <c r="L26">
        <v>16</v>
      </c>
      <c r="M26">
        <v>17</v>
      </c>
      <c r="N26">
        <v>18</v>
      </c>
      <c r="O26">
        <v>19</v>
      </c>
      <c r="P26">
        <v>20</v>
      </c>
      <c r="Q26">
        <v>21</v>
      </c>
      <c r="R26">
        <v>22</v>
      </c>
      <c r="S26">
        <v>23</v>
      </c>
      <c r="T26">
        <v>24</v>
      </c>
      <c r="U26">
        <v>25</v>
      </c>
      <c r="V26">
        <v>26</v>
      </c>
      <c r="W26">
        <v>27</v>
      </c>
      <c r="X26">
        <v>28</v>
      </c>
      <c r="Y26">
        <v>29</v>
      </c>
      <c r="Z26">
        <v>30</v>
      </c>
      <c r="AA26">
        <v>31</v>
      </c>
      <c r="AB26">
        <v>32</v>
      </c>
      <c r="AC26">
        <v>33</v>
      </c>
      <c r="AD26">
        <v>34</v>
      </c>
      <c r="AE26">
        <v>35</v>
      </c>
      <c r="AF26">
        <v>36</v>
      </c>
      <c r="AG26">
        <v>37</v>
      </c>
      <c r="AH26">
        <v>38</v>
      </c>
      <c r="AI26">
        <v>39</v>
      </c>
      <c r="AJ26">
        <v>40</v>
      </c>
      <c r="AK26">
        <v>41</v>
      </c>
      <c r="AL26">
        <v>42</v>
      </c>
      <c r="AM26">
        <v>43</v>
      </c>
      <c r="AN26">
        <v>44</v>
      </c>
      <c r="AO26">
        <v>45</v>
      </c>
      <c r="AP26">
        <v>46</v>
      </c>
      <c r="AQ26">
        <v>47</v>
      </c>
    </row>
    <row r="27" spans="1:44">
      <c r="A27" s="2" t="s">
        <v>26</v>
      </c>
      <c r="F27" s="138">
        <f>1/((1+($D$11/$D$8))^(F26))</f>
        <v>0.80482882087095997</v>
      </c>
      <c r="G27" s="138">
        <f>1/((1+($D$11/$D$8))^(G26))</f>
        <v>0.78754226808646211</v>
      </c>
      <c r="H27" s="138">
        <f t="shared" ref="H27:AK27" si="0">1/((1+($D$11/$D$8))^(H26))</f>
        <v>0.77062700531969497</v>
      </c>
      <c r="I27" s="138">
        <f t="shared" si="0"/>
        <v>0.75407505780096395</v>
      </c>
      <c r="J27" s="138">
        <f t="shared" si="0"/>
        <v>0.7378786220470317</v>
      </c>
      <c r="K27" s="138">
        <f t="shared" si="0"/>
        <v>0.72203006218213384</v>
      </c>
      <c r="L27" s="138">
        <f t="shared" si="0"/>
        <v>0.70652190633801448</v>
      </c>
      <c r="M27" s="138">
        <f t="shared" si="0"/>
        <v>0.69134684313128292</v>
      </c>
      <c r="N27" s="138">
        <f t="shared" si="0"/>
        <v>0.67649771821643234</v>
      </c>
      <c r="O27" s="138">
        <f t="shared" si="0"/>
        <v>0.66196753091289429</v>
      </c>
      <c r="P27" s="138">
        <f t="shared" si="0"/>
        <v>0.64774943090453974</v>
      </c>
      <c r="Q27" s="138">
        <f t="shared" si="0"/>
        <v>0.63383671501006877</v>
      </c>
      <c r="R27" s="138">
        <f t="shared" si="0"/>
        <v>0.62022282402276907</v>
      </c>
      <c r="S27" s="138">
        <f t="shared" si="0"/>
        <v>0.60690133961815074</v>
      </c>
      <c r="T27" s="138">
        <f t="shared" si="0"/>
        <v>0.59386598132800117</v>
      </c>
      <c r="U27" s="138">
        <f t="shared" si="0"/>
        <v>0.58111060357943267</v>
      </c>
      <c r="V27" s="138">
        <f t="shared" si="0"/>
        <v>0.56862919279752699</v>
      </c>
      <c r="W27" s="138">
        <f t="shared" si="0"/>
        <v>0.55641586457021086</v>
      </c>
      <c r="X27" s="138">
        <f t="shared" si="0"/>
        <v>0.54446486087402612</v>
      </c>
      <c r="Y27" s="138">
        <f t="shared" si="0"/>
        <v>0.53277054735948559</v>
      </c>
      <c r="Z27" s="138">
        <f t="shared" si="0"/>
        <v>0.52132741069473609</v>
      </c>
      <c r="AA27" s="138">
        <f t="shared" si="0"/>
        <v>0.51013005596627636</v>
      </c>
      <c r="AB27" s="138">
        <f t="shared" si="0"/>
        <v>0.49917320413550209</v>
      </c>
      <c r="AC27" s="138">
        <f t="shared" si="0"/>
        <v>0.48845168954988222</v>
      </c>
      <c r="AD27" s="138">
        <f t="shared" si="0"/>
        <v>0.47796045750759064</v>
      </c>
      <c r="AE27" s="138">
        <f t="shared" si="0"/>
        <v>0.46769456187444658</v>
      </c>
      <c r="AF27" s="138">
        <f t="shared" si="0"/>
        <v>0.45764916275203943</v>
      </c>
      <c r="AG27" s="138">
        <f t="shared" si="0"/>
        <v>0.44781952419593857</v>
      </c>
      <c r="AH27" s="138">
        <f t="shared" si="0"/>
        <v>0.43820101198291372</v>
      </c>
      <c r="AI27" s="138">
        <f t="shared" si="0"/>
        <v>0.42878909142611055</v>
      </c>
      <c r="AJ27" s="138">
        <f t="shared" si="0"/>
        <v>0.41957932523715508</v>
      </c>
      <c r="AK27" s="138">
        <f t="shared" si="0"/>
        <v>0.41056737143417499</v>
      </c>
      <c r="AL27" s="138">
        <f t="shared" ref="AL27" si="1">1/((1+($D$11/$D$8))^(AL26))</f>
        <v>0.40174898129475517</v>
      </c>
      <c r="AM27" s="138">
        <f t="shared" ref="AM27" si="2">1/((1+($D$11/$D$8))^(AM26))</f>
        <v>0.39311999735285991</v>
      </c>
      <c r="AN27" s="138">
        <f t="shared" ref="AN27" si="3">1/((1+($D$11/$D$8))^(AN26))</f>
        <v>0.38467635143877871</v>
      </c>
      <c r="AO27" s="138">
        <f t="shared" ref="AO27" si="4">1/((1+($D$11/$D$8))^(AO26))</f>
        <v>0.37641406276117112</v>
      </c>
      <c r="AP27" s="138">
        <f t="shared" ref="AP27" si="5">1/((1+($D$11/$D$8))^(AP26))</f>
        <v>0.36832923603030593</v>
      </c>
      <c r="AQ27" s="138">
        <f t="shared" ref="AQ27" si="6">1/((1+($D$11/$D$8))^(AQ26))</f>
        <v>0.36041805962161155</v>
      </c>
    </row>
    <row r="29" spans="1:44" ht="21">
      <c r="A29" s="29" t="s">
        <v>27</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row>
    <row r="30" spans="1:44">
      <c r="A30" s="2" t="s">
        <v>37</v>
      </c>
      <c r="F30">
        <v>1</v>
      </c>
      <c r="G30">
        <v>2</v>
      </c>
      <c r="H30">
        <v>3</v>
      </c>
      <c r="I30">
        <v>4</v>
      </c>
      <c r="J30">
        <v>5</v>
      </c>
      <c r="K30">
        <v>6</v>
      </c>
      <c r="L30">
        <v>7</v>
      </c>
      <c r="M30">
        <v>8</v>
      </c>
      <c r="N30">
        <v>9</v>
      </c>
      <c r="O30">
        <v>10</v>
      </c>
      <c r="P30">
        <v>11</v>
      </c>
      <c r="Q30">
        <v>12</v>
      </c>
      <c r="R30">
        <v>13</v>
      </c>
      <c r="S30">
        <v>14</v>
      </c>
      <c r="T30">
        <v>15</v>
      </c>
      <c r="U30">
        <v>16</v>
      </c>
      <c r="V30">
        <v>17</v>
      </c>
      <c r="W30">
        <v>18</v>
      </c>
      <c r="X30">
        <v>19</v>
      </c>
    </row>
    <row r="31" spans="1:44">
      <c r="A31" s="27"/>
      <c r="B31" s="26" t="s">
        <v>28</v>
      </c>
      <c r="C31" s="27"/>
      <c r="D31" s="71">
        <f>SUM(F31:AQ31)</f>
        <v>-27792274.917170271</v>
      </c>
      <c r="E31" s="71"/>
      <c r="F31" s="71">
        <f>PMT($D$5,$D$9,$D$10)</f>
        <v>-1462751.3114300137</v>
      </c>
      <c r="G31" s="71">
        <f t="shared" ref="G31:X31" si="7">PMT($D$5,$D$9,$D$10)</f>
        <v>-1462751.3114300137</v>
      </c>
      <c r="H31" s="71">
        <f t="shared" si="7"/>
        <v>-1462751.3114300137</v>
      </c>
      <c r="I31" s="71">
        <f t="shared" si="7"/>
        <v>-1462751.3114300137</v>
      </c>
      <c r="J31" s="71">
        <f t="shared" si="7"/>
        <v>-1462751.3114300137</v>
      </c>
      <c r="K31" s="71">
        <f t="shared" si="7"/>
        <v>-1462751.3114300137</v>
      </c>
      <c r="L31" s="71">
        <f t="shared" si="7"/>
        <v>-1462751.3114300137</v>
      </c>
      <c r="M31" s="71">
        <f t="shared" si="7"/>
        <v>-1462751.3114300137</v>
      </c>
      <c r="N31" s="71">
        <f t="shared" si="7"/>
        <v>-1462751.3114300137</v>
      </c>
      <c r="O31" s="71">
        <f t="shared" si="7"/>
        <v>-1462751.3114300137</v>
      </c>
      <c r="P31" s="71">
        <f t="shared" si="7"/>
        <v>-1462751.3114300137</v>
      </c>
      <c r="Q31" s="71">
        <f t="shared" si="7"/>
        <v>-1462751.3114300137</v>
      </c>
      <c r="R31" s="71">
        <f t="shared" si="7"/>
        <v>-1462751.3114300137</v>
      </c>
      <c r="S31" s="71">
        <f t="shared" si="7"/>
        <v>-1462751.3114300137</v>
      </c>
      <c r="T31" s="71">
        <f t="shared" si="7"/>
        <v>-1462751.3114300137</v>
      </c>
      <c r="U31" s="71">
        <f t="shared" si="7"/>
        <v>-1462751.3114300137</v>
      </c>
      <c r="V31" s="71">
        <f t="shared" si="7"/>
        <v>-1462751.3114300137</v>
      </c>
      <c r="W31" s="71">
        <f t="shared" si="7"/>
        <v>-1462751.3114300137</v>
      </c>
      <c r="X31" s="71">
        <f t="shared" si="7"/>
        <v>-1462751.3114300137</v>
      </c>
      <c r="Y31" s="71"/>
    </row>
    <row r="32" spans="1:44">
      <c r="A32" s="27"/>
      <c r="B32" s="27"/>
      <c r="C32" s="27" t="s">
        <v>29</v>
      </c>
      <c r="D32" s="71">
        <f t="shared" ref="D32:D37" si="8">SUM(F32:AQ32)</f>
        <v>-21423457.999999996</v>
      </c>
      <c r="E32" s="71"/>
      <c r="F32" s="71">
        <f t="shared" ref="F32:X32" si="9">PPMT($D$5,F$30,$D$9,$D$10)</f>
        <v>-873606.21643001377</v>
      </c>
      <c r="G32" s="71">
        <f t="shared" si="9"/>
        <v>-897630.3873818391</v>
      </c>
      <c r="H32" s="71">
        <f t="shared" si="9"/>
        <v>-922315.22303483961</v>
      </c>
      <c r="I32" s="71">
        <f t="shared" si="9"/>
        <v>-947678.8916682977</v>
      </c>
      <c r="J32" s="71">
        <f t="shared" si="9"/>
        <v>-973740.06118917582</v>
      </c>
      <c r="K32" s="71">
        <f t="shared" si="9"/>
        <v>-1000517.9128718781</v>
      </c>
      <c r="L32" s="71">
        <f t="shared" si="9"/>
        <v>-1028032.1554758551</v>
      </c>
      <c r="M32" s="71">
        <f t="shared" si="9"/>
        <v>-1056303.039751441</v>
      </c>
      <c r="N32" s="71">
        <f t="shared" si="9"/>
        <v>-1085351.3733446056</v>
      </c>
      <c r="O32" s="71">
        <f t="shared" si="9"/>
        <v>-1115198.5361115823</v>
      </c>
      <c r="P32" s="71">
        <f t="shared" si="9"/>
        <v>-1145866.4958546506</v>
      </c>
      <c r="Q32" s="71">
        <f t="shared" si="9"/>
        <v>-1177377.8244906536</v>
      </c>
      <c r="R32" s="71">
        <f t="shared" si="9"/>
        <v>-1209755.7146641465</v>
      </c>
      <c r="S32" s="71">
        <f t="shared" si="9"/>
        <v>-1243023.9968174107</v>
      </c>
      <c r="T32" s="71">
        <f t="shared" si="9"/>
        <v>-1277207.1567298893</v>
      </c>
      <c r="U32" s="71">
        <f t="shared" si="9"/>
        <v>-1312330.3535399614</v>
      </c>
      <c r="V32" s="71">
        <f t="shared" si="9"/>
        <v>-1348419.4382623103</v>
      </c>
      <c r="W32" s="71">
        <f t="shared" si="9"/>
        <v>-1385500.9728145238</v>
      </c>
      <c r="X32" s="71">
        <f t="shared" si="9"/>
        <v>-1423602.2495669234</v>
      </c>
      <c r="Y32" s="71"/>
    </row>
    <row r="33" spans="1:43">
      <c r="A33" s="27"/>
      <c r="B33" s="27"/>
      <c r="C33" s="27" t="s">
        <v>30</v>
      </c>
      <c r="D33" s="71">
        <f t="shared" si="8"/>
        <v>-6368816.9171702638</v>
      </c>
      <c r="E33" s="71"/>
      <c r="F33" s="71">
        <f>IPMT($D$5,F$30,$D$9,$D$10)</f>
        <v>-589145.09499999997</v>
      </c>
      <c r="G33" s="71">
        <f t="shared" ref="G33:X33" si="10">IPMT($D$5,G$30,$D$9,$D$10)</f>
        <v>-565120.92404817464</v>
      </c>
      <c r="H33" s="71">
        <f t="shared" si="10"/>
        <v>-540436.08839517401</v>
      </c>
      <c r="I33" s="71">
        <f t="shared" si="10"/>
        <v>-515072.41976171598</v>
      </c>
      <c r="J33" s="71">
        <f t="shared" si="10"/>
        <v>-489011.25024083775</v>
      </c>
      <c r="K33" s="71">
        <f t="shared" si="10"/>
        <v>-462233.39855813549</v>
      </c>
      <c r="L33" s="71">
        <f t="shared" si="10"/>
        <v>-434719.15595415875</v>
      </c>
      <c r="M33" s="71">
        <f t="shared" si="10"/>
        <v>-406448.27167857275</v>
      </c>
      <c r="N33" s="71">
        <f t="shared" si="10"/>
        <v>-377399.93808540812</v>
      </c>
      <c r="O33" s="71">
        <f t="shared" si="10"/>
        <v>-347552.77531843155</v>
      </c>
      <c r="P33" s="71">
        <f t="shared" si="10"/>
        <v>-316884.815575363</v>
      </c>
      <c r="Q33" s="71">
        <f t="shared" si="10"/>
        <v>-285373.48693935998</v>
      </c>
      <c r="R33" s="71">
        <f t="shared" si="10"/>
        <v>-252995.59676586709</v>
      </c>
      <c r="S33" s="71">
        <f t="shared" si="10"/>
        <v>-219727.31461260305</v>
      </c>
      <c r="T33" s="71">
        <f t="shared" si="10"/>
        <v>-185544.15470012426</v>
      </c>
      <c r="U33" s="71">
        <f t="shared" si="10"/>
        <v>-150420.95789005229</v>
      </c>
      <c r="V33" s="71">
        <f t="shared" si="10"/>
        <v>-114331.87316770335</v>
      </c>
      <c r="W33" s="71">
        <f t="shared" si="10"/>
        <v>-77250.338615489803</v>
      </c>
      <c r="X33" s="71">
        <f t="shared" si="10"/>
        <v>-39149.061863090399</v>
      </c>
      <c r="Y33" s="71"/>
    </row>
    <row r="34" spans="1:43">
      <c r="A34" s="27"/>
      <c r="B34" s="33" t="s">
        <v>31</v>
      </c>
      <c r="C34" s="33"/>
      <c r="D34" s="71"/>
      <c r="E34" s="71">
        <f>D10</f>
        <v>21423458</v>
      </c>
      <c r="F34" s="71">
        <f>E34+F32</f>
        <v>20549851.783569988</v>
      </c>
      <c r="G34" s="71">
        <f t="shared" ref="G34:V34" si="11">F34+G32</f>
        <v>19652221.396188147</v>
      </c>
      <c r="H34" s="71">
        <f t="shared" si="11"/>
        <v>18729906.173153307</v>
      </c>
      <c r="I34" s="71">
        <f t="shared" si="11"/>
        <v>17782227.28148501</v>
      </c>
      <c r="J34" s="71">
        <f t="shared" si="11"/>
        <v>16808487.220295835</v>
      </c>
      <c r="K34" s="71">
        <f t="shared" si="11"/>
        <v>15807969.307423957</v>
      </c>
      <c r="L34" s="71">
        <f t="shared" si="11"/>
        <v>14779937.151948102</v>
      </c>
      <c r="M34" s="71">
        <f t="shared" si="11"/>
        <v>13723634.112196662</v>
      </c>
      <c r="N34" s="71">
        <f t="shared" si="11"/>
        <v>12638282.738852056</v>
      </c>
      <c r="O34" s="71">
        <f t="shared" si="11"/>
        <v>11523084.202740474</v>
      </c>
      <c r="P34" s="71">
        <f t="shared" si="11"/>
        <v>10377217.706885822</v>
      </c>
      <c r="Q34" s="71">
        <f t="shared" si="11"/>
        <v>9199839.8823951688</v>
      </c>
      <c r="R34" s="71">
        <f t="shared" si="11"/>
        <v>7990084.1677310225</v>
      </c>
      <c r="S34" s="71">
        <f t="shared" si="11"/>
        <v>6747060.1709136115</v>
      </c>
      <c r="T34" s="71">
        <f t="shared" si="11"/>
        <v>5469853.0141837224</v>
      </c>
      <c r="U34" s="71">
        <f t="shared" si="11"/>
        <v>4157522.660643761</v>
      </c>
      <c r="V34" s="71">
        <f t="shared" si="11"/>
        <v>2809103.2223814507</v>
      </c>
      <c r="W34" s="71">
        <f t="shared" ref="W34:X34" si="12">V34+W32</f>
        <v>1423602.2495669269</v>
      </c>
      <c r="X34" s="71">
        <f t="shared" si="12"/>
        <v>3.4924596548080444E-9</v>
      </c>
      <c r="Y34" s="71"/>
    </row>
    <row r="35" spans="1:43">
      <c r="A35" s="27"/>
      <c r="B35" s="26" t="s">
        <v>32</v>
      </c>
      <c r="C35" s="27"/>
      <c r="D35" s="71">
        <f t="shared" si="8"/>
        <v>-18527957.986537255</v>
      </c>
      <c r="E35" s="71"/>
      <c r="F35" s="71">
        <f>F31*F27</f>
        <v>-1177264.4132056683</v>
      </c>
      <c r="G35" s="71">
        <f t="shared" ref="G35:X35" si="13">G31*G27</f>
        <v>-1151978.4854500399</v>
      </c>
      <c r="H35" s="71">
        <f t="shared" si="13"/>
        <v>-1127235.662654768</v>
      </c>
      <c r="I35" s="71">
        <f t="shared" si="13"/>
        <v>-1103024.2797150235</v>
      </c>
      <c r="J35" s="71">
        <f t="shared" si="13"/>
        <v>-1079332.922075467</v>
      </c>
      <c r="K35" s="71">
        <f t="shared" si="13"/>
        <v>-1056150.4203488107</v>
      </c>
      <c r="L35" s="71">
        <f t="shared" si="13"/>
        <v>-1033465.845049964</v>
      </c>
      <c r="M35" s="71">
        <f t="shared" si="13"/>
        <v>-1011268.5014432841</v>
      </c>
      <c r="N35" s="71">
        <f t="shared" si="13"/>
        <v>-989547.92450049834</v>
      </c>
      <c r="O35" s="71">
        <f t="shared" si="13"/>
        <v>-968293.87396692426</v>
      </c>
      <c r="P35" s="71">
        <f t="shared" si="13"/>
        <v>-947496.32953366055</v>
      </c>
      <c r="Q35" s="71">
        <f t="shared" si="13"/>
        <v>-927145.48611346993</v>
      </c>
      <c r="R35" s="71">
        <f t="shared" si="13"/>
        <v>-907231.74921813211</v>
      </c>
      <c r="S35" s="71">
        <f t="shared" si="13"/>
        <v>-887745.73043508211</v>
      </c>
      <c r="T35" s="71">
        <f t="shared" si="13"/>
        <v>-868678.24300120573</v>
      </c>
      <c r="U35" s="71">
        <f t="shared" si="13"/>
        <v>-850020.29747170198</v>
      </c>
      <c r="V35" s="71">
        <f t="shared" si="13"/>
        <v>-831763.09748197277</v>
      </c>
      <c r="W35" s="71">
        <f t="shared" si="13"/>
        <v>-813898.03560054081</v>
      </c>
      <c r="X35" s="71">
        <f t="shared" si="13"/>
        <v>-796416.68927104166</v>
      </c>
      <c r="Y35" s="71"/>
    </row>
    <row r="36" spans="1:43">
      <c r="A36" s="27"/>
      <c r="B36" s="27"/>
      <c r="C36" s="27" t="s">
        <v>29</v>
      </c>
      <c r="D36" s="71">
        <f t="shared" si="8"/>
        <v>-14032451.752349094</v>
      </c>
      <c r="E36" s="71"/>
      <c r="F36" s="71">
        <f>F32*F27</f>
        <v>-703103.46107490861</v>
      </c>
      <c r="G36" s="71">
        <f t="shared" ref="G36:X36" si="14">G32*G27</f>
        <v>-706921.8711820232</v>
      </c>
      <c r="H36" s="71">
        <f t="shared" si="14"/>
        <v>-710761.01828810503</v>
      </c>
      <c r="I36" s="71">
        <f t="shared" si="14"/>
        <v>-714621.01501152501</v>
      </c>
      <c r="J36" s="71">
        <f t="shared" si="14"/>
        <v>-718501.97458226141</v>
      </c>
      <c r="K36" s="71">
        <f t="shared" si="14"/>
        <v>-722404.01084522088</v>
      </c>
      <c r="L36" s="71">
        <f t="shared" si="14"/>
        <v>-726327.2382635792</v>
      </c>
      <c r="M36" s="71">
        <f t="shared" si="14"/>
        <v>-730271.77192213677</v>
      </c>
      <c r="N36" s="71">
        <f t="shared" si="14"/>
        <v>-734237.72753069678</v>
      </c>
      <c r="O36" s="71">
        <f t="shared" si="14"/>
        <v>-738225.22142745834</v>
      </c>
      <c r="P36" s="71">
        <f t="shared" si="14"/>
        <v>-742234.37058242911</v>
      </c>
      <c r="Q36" s="71">
        <f t="shared" si="14"/>
        <v>-746265.29260085721</v>
      </c>
      <c r="R36" s="71">
        <f t="shared" si="14"/>
        <v>-750318.10572668014</v>
      </c>
      <c r="S36" s="71">
        <f t="shared" si="14"/>
        <v>-754392.92884599452</v>
      </c>
      <c r="T36" s="71">
        <f t="shared" si="14"/>
        <v>-758489.88149054197</v>
      </c>
      <c r="U36" s="71">
        <f t="shared" si="14"/>
        <v>-762609.08384121722</v>
      </c>
      <c r="V36" s="71">
        <f t="shared" si="14"/>
        <v>-766750.65673159237</v>
      </c>
      <c r="W36" s="71">
        <f t="shared" si="14"/>
        <v>-770914.72165146156</v>
      </c>
      <c r="X36" s="71">
        <f t="shared" si="14"/>
        <v>-775101.4007504055</v>
      </c>
      <c r="Y36" s="71"/>
    </row>
    <row r="37" spans="1:43">
      <c r="A37" s="27"/>
      <c r="B37" s="27"/>
      <c r="C37" s="27" t="s">
        <v>30</v>
      </c>
      <c r="D37" s="71">
        <f t="shared" si="8"/>
        <v>-4495506.2341881599</v>
      </c>
      <c r="E37" s="71"/>
      <c r="F37" s="71">
        <f>F33*F27</f>
        <v>-474160.95213075966</v>
      </c>
      <c r="G37" s="71">
        <f t="shared" ref="G37:X37" si="15">G33*G27</f>
        <v>-445056.61426801677</v>
      </c>
      <c r="H37" s="71">
        <f t="shared" si="15"/>
        <v>-416474.64436666289</v>
      </c>
      <c r="I37" s="71">
        <f t="shared" si="15"/>
        <v>-388403.26470349834</v>
      </c>
      <c r="J37" s="71">
        <f t="shared" si="15"/>
        <v>-360830.94749320555</v>
      </c>
      <c r="K37" s="71">
        <f t="shared" si="15"/>
        <v>-333746.40950358962</v>
      </c>
      <c r="L37" s="71">
        <f t="shared" si="15"/>
        <v>-307138.60678638483</v>
      </c>
      <c r="M37" s="71">
        <f t="shared" si="15"/>
        <v>-280996.72952114732</v>
      </c>
      <c r="N37" s="71">
        <f t="shared" si="15"/>
        <v>-255310.19696980144</v>
      </c>
      <c r="O37" s="71">
        <f t="shared" si="15"/>
        <v>-230068.65253946604</v>
      </c>
      <c r="P37" s="71">
        <f t="shared" si="15"/>
        <v>-205261.95895123141</v>
      </c>
      <c r="Q37" s="71">
        <f t="shared" si="15"/>
        <v>-180880.19351261269</v>
      </c>
      <c r="R37" s="71">
        <f t="shared" si="15"/>
        <v>-156913.64349145183</v>
      </c>
      <c r="S37" s="71">
        <f t="shared" si="15"/>
        <v>-133352.80158908767</v>
      </c>
      <c r="T37" s="71">
        <f t="shared" si="15"/>
        <v>-110188.36151066376</v>
      </c>
      <c r="U37" s="71">
        <f t="shared" si="15"/>
        <v>-87411.213630484708</v>
      </c>
      <c r="V37" s="71">
        <f t="shared" si="15"/>
        <v>-65012.440750380389</v>
      </c>
      <c r="W37" s="71">
        <f t="shared" si="15"/>
        <v>-42983.313949079304</v>
      </c>
      <c r="X37" s="71">
        <f t="shared" si="15"/>
        <v>-21315.288520636157</v>
      </c>
      <c r="Y37" s="71"/>
    </row>
    <row r="39" spans="1:43" ht="21">
      <c r="A39" s="29" t="s">
        <v>33</v>
      </c>
      <c r="B39" s="30"/>
      <c r="C39" s="30"/>
      <c r="D39" s="30"/>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row>
    <row r="40" spans="1:43">
      <c r="A40" s="36" t="s">
        <v>169</v>
      </c>
      <c r="B40" s="44"/>
      <c r="C40" s="37"/>
      <c r="D40" s="37"/>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row>
    <row r="41" spans="1:43" s="141" customFormat="1">
      <c r="A41" s="2" t="s">
        <v>37</v>
      </c>
      <c r="B41"/>
      <c r="C41"/>
      <c r="D41" s="142"/>
    </row>
    <row r="42" spans="1:43" s="141" customFormat="1">
      <c r="A42" s="27"/>
      <c r="B42" s="26" t="s">
        <v>28</v>
      </c>
      <c r="C42" s="27"/>
      <c r="D42" s="155">
        <f>SUM(F42:AQ42)</f>
        <v>-1135443.274</v>
      </c>
      <c r="F42" s="155">
        <f>$D$20/2*-1</f>
        <v>-567721.63699999999</v>
      </c>
      <c r="G42" s="155">
        <f>$D$20/2*-1</f>
        <v>-567721.63699999999</v>
      </c>
    </row>
    <row r="43" spans="1:43" s="141" customFormat="1">
      <c r="A43" s="27"/>
      <c r="B43" s="27"/>
      <c r="C43" s="27" t="s">
        <v>29</v>
      </c>
      <c r="D43" s="155"/>
    </row>
    <row r="44" spans="1:43" s="141" customFormat="1">
      <c r="A44" s="27"/>
      <c r="B44" s="27"/>
      <c r="C44" s="27" t="s">
        <v>30</v>
      </c>
      <c r="D44" s="155"/>
    </row>
    <row r="45" spans="1:43" s="141" customFormat="1">
      <c r="A45" s="27"/>
      <c r="B45" s="26" t="s">
        <v>32</v>
      </c>
      <c r="C45" s="27"/>
      <c r="D45" s="155">
        <f t="shared" ref="D45" si="16">SUM(F45:AQ45)</f>
        <v>-904023.52133438026</v>
      </c>
      <c r="F45" s="155">
        <f>F42*F27</f>
        <v>-456918.73568964115</v>
      </c>
      <c r="G45" s="155">
        <f>G42*G27</f>
        <v>-447104.78564473911</v>
      </c>
    </row>
    <row r="46" spans="1:43" s="141" customFormat="1">
      <c r="A46" s="27"/>
      <c r="B46" s="27"/>
      <c r="C46" s="27" t="s">
        <v>29</v>
      </c>
      <c r="D46" s="142"/>
    </row>
    <row r="47" spans="1:43" s="141" customFormat="1">
      <c r="A47" s="27"/>
      <c r="B47" s="27"/>
      <c r="C47" s="27" t="s">
        <v>30</v>
      </c>
      <c r="D47" s="142"/>
    </row>
    <row r="48" spans="1:43">
      <c r="A48" s="36" t="s">
        <v>39</v>
      </c>
      <c r="B48" s="44"/>
      <c r="C48" s="37"/>
      <c r="D48" s="37"/>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row>
    <row r="49" spans="1:43">
      <c r="A49" s="140" t="s">
        <v>24</v>
      </c>
      <c r="B49" s="141"/>
      <c r="C49" s="142"/>
      <c r="D49" s="142"/>
      <c r="E49" s="141"/>
      <c r="F49" s="141"/>
      <c r="G49" s="141"/>
      <c r="H49" s="141">
        <v>1</v>
      </c>
      <c r="I49" s="141">
        <v>2</v>
      </c>
      <c r="J49" s="141">
        <v>3</v>
      </c>
      <c r="K49" s="141">
        <v>4</v>
      </c>
      <c r="L49" s="141">
        <v>5</v>
      </c>
      <c r="M49" s="141">
        <v>6</v>
      </c>
      <c r="N49" s="141">
        <v>7</v>
      </c>
      <c r="O49" s="141">
        <v>8</v>
      </c>
      <c r="P49" s="141">
        <v>9</v>
      </c>
      <c r="Q49" s="141">
        <v>10</v>
      </c>
      <c r="R49" s="141">
        <v>11</v>
      </c>
      <c r="S49" s="141">
        <v>12</v>
      </c>
      <c r="T49" s="141">
        <v>13</v>
      </c>
      <c r="U49" s="141">
        <v>14</v>
      </c>
      <c r="V49" s="141">
        <v>15</v>
      </c>
      <c r="W49" s="141">
        <v>16</v>
      </c>
      <c r="X49" s="141">
        <v>17</v>
      </c>
      <c r="Y49" s="141">
        <v>18</v>
      </c>
      <c r="Z49" s="141">
        <v>19</v>
      </c>
      <c r="AA49" s="141">
        <v>20</v>
      </c>
      <c r="AB49" s="141">
        <v>21</v>
      </c>
      <c r="AC49" s="141">
        <v>22</v>
      </c>
      <c r="AD49" s="141">
        <v>23</v>
      </c>
      <c r="AE49" s="141">
        <v>24</v>
      </c>
      <c r="AF49" s="141">
        <v>25</v>
      </c>
      <c r="AG49" s="141">
        <v>26</v>
      </c>
      <c r="AH49" s="141">
        <v>27</v>
      </c>
      <c r="AI49" s="141">
        <v>28</v>
      </c>
      <c r="AJ49" s="141">
        <v>29</v>
      </c>
      <c r="AK49" s="141">
        <v>30</v>
      </c>
      <c r="AL49" s="141">
        <v>31</v>
      </c>
      <c r="AM49" s="141">
        <v>32</v>
      </c>
      <c r="AN49" s="141">
        <v>33</v>
      </c>
      <c r="AO49" s="141">
        <v>34</v>
      </c>
      <c r="AP49" s="141">
        <v>35</v>
      </c>
      <c r="AQ49" s="141">
        <v>36</v>
      </c>
    </row>
    <row r="50" spans="1:43">
      <c r="A50" s="41"/>
      <c r="B50" s="26" t="s">
        <v>28</v>
      </c>
      <c r="C50" s="27"/>
      <c r="D50" s="71">
        <f>SUM(H50:AQ50)</f>
        <v>-21208450.509053446</v>
      </c>
      <c r="H50" s="47">
        <f>PMT($D$15,$D$19-2,$D$21)</f>
        <v>-589123.6252514848</v>
      </c>
      <c r="I50" s="47">
        <f t="shared" ref="I50:AQ50" si="17">PMT($D$15,$D$19-2,$D$21)</f>
        <v>-589123.6252514848</v>
      </c>
      <c r="J50" s="47">
        <f t="shared" si="17"/>
        <v>-589123.6252514848</v>
      </c>
      <c r="K50" s="47">
        <f t="shared" si="17"/>
        <v>-589123.6252514848</v>
      </c>
      <c r="L50" s="47">
        <f t="shared" si="17"/>
        <v>-589123.6252514848</v>
      </c>
      <c r="M50" s="47">
        <f t="shared" si="17"/>
        <v>-589123.6252514848</v>
      </c>
      <c r="N50" s="47">
        <f t="shared" si="17"/>
        <v>-589123.6252514848</v>
      </c>
      <c r="O50" s="47">
        <f t="shared" si="17"/>
        <v>-589123.6252514848</v>
      </c>
      <c r="P50" s="47">
        <f t="shared" si="17"/>
        <v>-589123.6252514848</v>
      </c>
      <c r="Q50" s="47">
        <f t="shared" si="17"/>
        <v>-589123.6252514848</v>
      </c>
      <c r="R50" s="47">
        <f t="shared" si="17"/>
        <v>-589123.6252514848</v>
      </c>
      <c r="S50" s="47">
        <f t="shared" si="17"/>
        <v>-589123.6252514848</v>
      </c>
      <c r="T50" s="47">
        <f t="shared" si="17"/>
        <v>-589123.6252514848</v>
      </c>
      <c r="U50" s="47">
        <f t="shared" si="17"/>
        <v>-589123.6252514848</v>
      </c>
      <c r="V50" s="47">
        <f t="shared" si="17"/>
        <v>-589123.6252514848</v>
      </c>
      <c r="W50" s="47">
        <f t="shared" si="17"/>
        <v>-589123.6252514848</v>
      </c>
      <c r="X50" s="47">
        <f t="shared" si="17"/>
        <v>-589123.6252514848</v>
      </c>
      <c r="Y50" s="47">
        <f t="shared" si="17"/>
        <v>-589123.6252514848</v>
      </c>
      <c r="Z50" s="47">
        <f t="shared" si="17"/>
        <v>-589123.6252514848</v>
      </c>
      <c r="AA50" s="47">
        <f t="shared" si="17"/>
        <v>-589123.6252514848</v>
      </c>
      <c r="AB50" s="47">
        <f t="shared" si="17"/>
        <v>-589123.6252514848</v>
      </c>
      <c r="AC50" s="47">
        <f t="shared" si="17"/>
        <v>-589123.6252514848</v>
      </c>
      <c r="AD50" s="47">
        <f t="shared" si="17"/>
        <v>-589123.6252514848</v>
      </c>
      <c r="AE50" s="47">
        <f t="shared" si="17"/>
        <v>-589123.6252514848</v>
      </c>
      <c r="AF50" s="47">
        <f t="shared" si="17"/>
        <v>-589123.6252514848</v>
      </c>
      <c r="AG50" s="47">
        <f t="shared" si="17"/>
        <v>-589123.6252514848</v>
      </c>
      <c r="AH50" s="47">
        <f t="shared" si="17"/>
        <v>-589123.6252514848</v>
      </c>
      <c r="AI50" s="47">
        <f t="shared" si="17"/>
        <v>-589123.6252514848</v>
      </c>
      <c r="AJ50" s="47">
        <f t="shared" si="17"/>
        <v>-589123.6252514848</v>
      </c>
      <c r="AK50" s="47">
        <f t="shared" si="17"/>
        <v>-589123.6252514848</v>
      </c>
      <c r="AL50" s="47">
        <f t="shared" si="17"/>
        <v>-589123.6252514848</v>
      </c>
      <c r="AM50" s="47">
        <f t="shared" si="17"/>
        <v>-589123.6252514848</v>
      </c>
      <c r="AN50" s="47">
        <f t="shared" si="17"/>
        <v>-589123.6252514848</v>
      </c>
      <c r="AO50" s="47">
        <f t="shared" si="17"/>
        <v>-589123.6252514848</v>
      </c>
      <c r="AP50" s="47">
        <f t="shared" si="17"/>
        <v>-589123.6252514848</v>
      </c>
      <c r="AQ50" s="47">
        <f t="shared" si="17"/>
        <v>-589123.6252514848</v>
      </c>
    </row>
    <row r="51" spans="1:43">
      <c r="A51" s="41"/>
      <c r="B51" s="27"/>
      <c r="C51" s="27" t="s">
        <v>29</v>
      </c>
      <c r="D51" s="71">
        <f t="shared" ref="D51:D56" si="18">SUM(H51:AQ51)</f>
        <v>-13355383.999999998</v>
      </c>
      <c r="H51" s="47">
        <f>PPMT($D$15,H$49,$D$19-2,$D$21)</f>
        <v>-221850.5652514848</v>
      </c>
      <c r="I51" s="47">
        <f t="shared" ref="I51:AQ51" si="19">PPMT($D$15,I$49,$D$19-2,$D$21)</f>
        <v>-227951.45579590066</v>
      </c>
      <c r="J51" s="47">
        <f t="shared" si="19"/>
        <v>-234220.12083028787</v>
      </c>
      <c r="K51" s="47">
        <f t="shared" si="19"/>
        <v>-240661.17415312087</v>
      </c>
      <c r="L51" s="47">
        <f t="shared" si="19"/>
        <v>-247279.35644233163</v>
      </c>
      <c r="M51" s="47">
        <f t="shared" si="19"/>
        <v>-254079.53874449577</v>
      </c>
      <c r="N51" s="47">
        <f t="shared" si="19"/>
        <v>-261066.72605996943</v>
      </c>
      <c r="O51" s="47">
        <f t="shared" si="19"/>
        <v>-268246.06102661858</v>
      </c>
      <c r="P51" s="47">
        <f t="shared" si="19"/>
        <v>-275622.82770485058</v>
      </c>
      <c r="Q51" s="47">
        <f t="shared" si="19"/>
        <v>-283202.45546673395</v>
      </c>
      <c r="R51" s="47">
        <f t="shared" si="19"/>
        <v>-290990.52299206913</v>
      </c>
      <c r="S51" s="47">
        <f t="shared" si="19"/>
        <v>-298992.76237435103</v>
      </c>
      <c r="T51" s="47">
        <f t="shared" si="19"/>
        <v>-307215.06333964568</v>
      </c>
      <c r="U51" s="47">
        <f t="shared" si="19"/>
        <v>-315663.47758148599</v>
      </c>
      <c r="V51" s="47">
        <f t="shared" si="19"/>
        <v>-324344.22321497678</v>
      </c>
      <c r="W51" s="47">
        <f t="shared" si="19"/>
        <v>-333263.68935338868</v>
      </c>
      <c r="X51" s="47">
        <f t="shared" si="19"/>
        <v>-342428.44081060687</v>
      </c>
      <c r="Y51" s="47">
        <f t="shared" si="19"/>
        <v>-351845.22293289861</v>
      </c>
      <c r="Z51" s="47">
        <f t="shared" si="19"/>
        <v>-361520.96656355332</v>
      </c>
      <c r="AA51" s="47">
        <f t="shared" si="19"/>
        <v>-371462.79314405099</v>
      </c>
      <c r="AB51" s="47">
        <f t="shared" si="19"/>
        <v>-381678.01995551243</v>
      </c>
      <c r="AC51" s="47">
        <f t="shared" si="19"/>
        <v>-392174.16550428898</v>
      </c>
      <c r="AD51" s="47">
        <f t="shared" si="19"/>
        <v>-402958.9550556569</v>
      </c>
      <c r="AE51" s="47">
        <f t="shared" si="19"/>
        <v>-414040.32631968753</v>
      </c>
      <c r="AF51" s="47">
        <f t="shared" si="19"/>
        <v>-425426.43529347889</v>
      </c>
      <c r="AG51" s="47">
        <f t="shared" si="19"/>
        <v>-437125.66226404958</v>
      </c>
      <c r="AH51" s="47">
        <f t="shared" si="19"/>
        <v>-449146.61797631095</v>
      </c>
      <c r="AI51" s="47">
        <f t="shared" si="19"/>
        <v>-461498.14997065952</v>
      </c>
      <c r="AJ51" s="47">
        <f t="shared" si="19"/>
        <v>-474189.34909485263</v>
      </c>
      <c r="AK51" s="47">
        <f t="shared" si="19"/>
        <v>-487229.55619496107</v>
      </c>
      <c r="AL51" s="47">
        <f t="shared" si="19"/>
        <v>-500628.36899032252</v>
      </c>
      <c r="AM51" s="47">
        <f t="shared" si="19"/>
        <v>-514395.64913755632</v>
      </c>
      <c r="AN51" s="47">
        <f t="shared" si="19"/>
        <v>-528541.52948883921</v>
      </c>
      <c r="AO51" s="47">
        <f t="shared" si="19"/>
        <v>-543076.42154978227</v>
      </c>
      <c r="AP51" s="47">
        <f t="shared" si="19"/>
        <v>-558011.02314240136</v>
      </c>
      <c r="AQ51" s="47">
        <f t="shared" si="19"/>
        <v>-573356.32627881737</v>
      </c>
    </row>
    <row r="52" spans="1:43">
      <c r="A52" s="41"/>
      <c r="B52" s="27"/>
      <c r="C52" s="27" t="s">
        <v>30</v>
      </c>
      <c r="D52" s="71">
        <f t="shared" si="18"/>
        <v>-7853066.5090534566</v>
      </c>
      <c r="H52" s="47">
        <f>IPMT($D$15,H$49,$D$19-2,$D$21)</f>
        <v>-367273.06</v>
      </c>
      <c r="I52" s="47">
        <f t="shared" ref="I52:AQ52" si="20">IPMT($D$15,I$49,$D$19-2,$D$21)</f>
        <v>-361172.1694555842</v>
      </c>
      <c r="J52" s="47">
        <f t="shared" si="20"/>
        <v>-354903.50442119694</v>
      </c>
      <c r="K52" s="47">
        <f t="shared" si="20"/>
        <v>-348462.45109836402</v>
      </c>
      <c r="L52" s="47">
        <f t="shared" si="20"/>
        <v>-341844.26880915317</v>
      </c>
      <c r="M52" s="47">
        <f t="shared" si="20"/>
        <v>-335044.08650698909</v>
      </c>
      <c r="N52" s="47">
        <f t="shared" si="20"/>
        <v>-328056.8991915154</v>
      </c>
      <c r="O52" s="47">
        <f t="shared" si="20"/>
        <v>-320877.56422486622</v>
      </c>
      <c r="P52" s="47">
        <f t="shared" si="20"/>
        <v>-313500.79754663433</v>
      </c>
      <c r="Q52" s="47">
        <f t="shared" si="20"/>
        <v>-305921.16978475091</v>
      </c>
      <c r="R52" s="47">
        <f t="shared" si="20"/>
        <v>-298133.10225941567</v>
      </c>
      <c r="S52" s="47">
        <f t="shared" si="20"/>
        <v>-290130.86287713383</v>
      </c>
      <c r="T52" s="47">
        <f t="shared" si="20"/>
        <v>-281908.56191183912</v>
      </c>
      <c r="U52" s="47">
        <f t="shared" si="20"/>
        <v>-273460.14766999887</v>
      </c>
      <c r="V52" s="47">
        <f t="shared" si="20"/>
        <v>-264779.4020365079</v>
      </c>
      <c r="W52" s="47">
        <f t="shared" si="20"/>
        <v>-255859.93589809607</v>
      </c>
      <c r="X52" s="47">
        <f t="shared" si="20"/>
        <v>-246695.18444087796</v>
      </c>
      <c r="Y52" s="47">
        <f t="shared" si="20"/>
        <v>-237278.40231858625</v>
      </c>
      <c r="Z52" s="47">
        <f t="shared" si="20"/>
        <v>-227602.65868793154</v>
      </c>
      <c r="AA52" s="47">
        <f t="shared" si="20"/>
        <v>-217660.83210743382</v>
      </c>
      <c r="AB52" s="47">
        <f t="shared" si="20"/>
        <v>-207445.6052959724</v>
      </c>
      <c r="AC52" s="47">
        <f t="shared" si="20"/>
        <v>-196949.4597471958</v>
      </c>
      <c r="AD52" s="47">
        <f t="shared" si="20"/>
        <v>-186164.67019582787</v>
      </c>
      <c r="AE52" s="47">
        <f t="shared" si="20"/>
        <v>-175083.2989317973</v>
      </c>
      <c r="AF52" s="47">
        <f t="shared" si="20"/>
        <v>-163697.18995800588</v>
      </c>
      <c r="AG52" s="47">
        <f t="shared" si="20"/>
        <v>-151997.9629874352</v>
      </c>
      <c r="AH52" s="47">
        <f t="shared" si="20"/>
        <v>-139977.00727517388</v>
      </c>
      <c r="AI52" s="47">
        <f t="shared" si="20"/>
        <v>-127625.4752808253</v>
      </c>
      <c r="AJ52" s="47">
        <f t="shared" si="20"/>
        <v>-114934.27615663216</v>
      </c>
      <c r="AK52" s="47">
        <f t="shared" si="20"/>
        <v>-101894.06905652372</v>
      </c>
      <c r="AL52" s="47">
        <f t="shared" si="20"/>
        <v>-88495.256261162285</v>
      </c>
      <c r="AM52" s="47">
        <f t="shared" si="20"/>
        <v>-74727.976113928409</v>
      </c>
      <c r="AN52" s="47">
        <f t="shared" si="20"/>
        <v>-60582.095762645607</v>
      </c>
      <c r="AO52" s="47">
        <f t="shared" si="20"/>
        <v>-46047.203701702536</v>
      </c>
      <c r="AP52" s="47">
        <f t="shared" si="20"/>
        <v>-31112.602109083517</v>
      </c>
      <c r="AQ52" s="47">
        <f t="shared" si="20"/>
        <v>-15767.29897266748</v>
      </c>
    </row>
    <row r="53" spans="1:43">
      <c r="A53" s="41"/>
      <c r="B53" s="33" t="s">
        <v>31</v>
      </c>
      <c r="C53" s="42"/>
      <c r="D53" s="71"/>
      <c r="G53" s="130">
        <f>D21</f>
        <v>13355384</v>
      </c>
      <c r="H53" s="71">
        <f>G53+H51</f>
        <v>13133533.434748515</v>
      </c>
      <c r="I53" s="71">
        <f t="shared" ref="I53:AQ53" si="21">H53+I51</f>
        <v>12905581.978952615</v>
      </c>
      <c r="J53" s="71">
        <f t="shared" si="21"/>
        <v>12671361.858122326</v>
      </c>
      <c r="K53" s="71">
        <f t="shared" si="21"/>
        <v>12430700.683969205</v>
      </c>
      <c r="L53" s="71">
        <f t="shared" si="21"/>
        <v>12183421.327526873</v>
      </c>
      <c r="M53" s="71">
        <f t="shared" si="21"/>
        <v>11929341.788782377</v>
      </c>
      <c r="N53" s="71">
        <f t="shared" si="21"/>
        <v>11668275.062722407</v>
      </c>
      <c r="O53" s="71">
        <f t="shared" si="21"/>
        <v>11400029.001695789</v>
      </c>
      <c r="P53" s="71">
        <f t="shared" si="21"/>
        <v>11124406.173990939</v>
      </c>
      <c r="Q53" s="71">
        <f t="shared" si="21"/>
        <v>10841203.718524205</v>
      </c>
      <c r="R53" s="71">
        <f t="shared" si="21"/>
        <v>10550213.195532136</v>
      </c>
      <c r="S53" s="71">
        <f t="shared" si="21"/>
        <v>10251220.433157785</v>
      </c>
      <c r="T53" s="71">
        <f t="shared" si="21"/>
        <v>9944005.3698181398</v>
      </c>
      <c r="U53" s="71">
        <f t="shared" si="21"/>
        <v>9628341.8922366537</v>
      </c>
      <c r="V53" s="71">
        <f t="shared" si="21"/>
        <v>9303997.6690216772</v>
      </c>
      <c r="W53" s="71">
        <f t="shared" si="21"/>
        <v>8970733.9796682894</v>
      </c>
      <c r="X53" s="71">
        <f t="shared" si="21"/>
        <v>8628305.5388576817</v>
      </c>
      <c r="Y53" s="71">
        <f t="shared" si="21"/>
        <v>8276460.3159247832</v>
      </c>
      <c r="Z53" s="71">
        <f t="shared" si="21"/>
        <v>7914939.3493612297</v>
      </c>
      <c r="AA53" s="71">
        <f t="shared" si="21"/>
        <v>7543476.5562171787</v>
      </c>
      <c r="AB53" s="71">
        <f t="shared" si="21"/>
        <v>7161798.5362616666</v>
      </c>
      <c r="AC53" s="71">
        <f t="shared" si="21"/>
        <v>6769624.3707573777</v>
      </c>
      <c r="AD53" s="71">
        <f t="shared" si="21"/>
        <v>6366665.4157017209</v>
      </c>
      <c r="AE53" s="71">
        <f t="shared" si="21"/>
        <v>5952625.0893820338</v>
      </c>
      <c r="AF53" s="71">
        <f t="shared" si="21"/>
        <v>5527198.6540885549</v>
      </c>
      <c r="AG53" s="71">
        <f t="shared" si="21"/>
        <v>5090072.9918245049</v>
      </c>
      <c r="AH53" s="71">
        <f t="shared" si="21"/>
        <v>4640926.3738481943</v>
      </c>
      <c r="AI53" s="71">
        <f t="shared" si="21"/>
        <v>4179428.2238775347</v>
      </c>
      <c r="AJ53" s="71">
        <f t="shared" si="21"/>
        <v>3705238.8747826819</v>
      </c>
      <c r="AK53" s="71">
        <f t="shared" si="21"/>
        <v>3218009.3185877209</v>
      </c>
      <c r="AL53" s="71">
        <f t="shared" si="21"/>
        <v>2717380.9495973983</v>
      </c>
      <c r="AM53" s="71">
        <f t="shared" si="21"/>
        <v>2202985.3004598422</v>
      </c>
      <c r="AN53" s="71">
        <f t="shared" si="21"/>
        <v>1674443.770971003</v>
      </c>
      <c r="AO53" s="71">
        <f t="shared" si="21"/>
        <v>1131367.3494212208</v>
      </c>
      <c r="AP53" s="71">
        <f t="shared" si="21"/>
        <v>573356.32627881947</v>
      </c>
      <c r="AQ53" s="71">
        <f t="shared" si="21"/>
        <v>2.0954757928848267E-9</v>
      </c>
    </row>
    <row r="54" spans="1:43" ht="21">
      <c r="A54" s="43"/>
      <c r="B54" s="26" t="s">
        <v>32</v>
      </c>
      <c r="C54" s="27"/>
      <c r="D54" s="71">
        <f t="shared" si="18"/>
        <v>-11463734.037516396</v>
      </c>
      <c r="H54" s="71">
        <f t="shared" ref="H54:AQ54" si="22">H50*H27</f>
        <v>-453994.57509063394</v>
      </c>
      <c r="I54" s="71">
        <f t="shared" si="22"/>
        <v>-444243.43176342681</v>
      </c>
      <c r="J54" s="71">
        <f t="shared" si="22"/>
        <v>-434701.72881591751</v>
      </c>
      <c r="K54" s="71">
        <f t="shared" si="22"/>
        <v>-425364.96777329367</v>
      </c>
      <c r="L54" s="71">
        <f t="shared" si="22"/>
        <v>-416228.74678144109</v>
      </c>
      <c r="M54" s="71">
        <f t="shared" si="22"/>
        <v>-407288.75853167096</v>
      </c>
      <c r="N54" s="71">
        <f t="shared" si="22"/>
        <v>-398540.78823002207</v>
      </c>
      <c r="O54" s="71">
        <f t="shared" si="22"/>
        <v>-389980.71161017864</v>
      </c>
      <c r="P54" s="71">
        <f t="shared" si="22"/>
        <v>-381604.49298906862</v>
      </c>
      <c r="Q54" s="71">
        <f t="shared" si="22"/>
        <v>-373408.18336422392</v>
      </c>
      <c r="R54" s="71">
        <f t="shared" si="22"/>
        <v>-365387.91855200741</v>
      </c>
      <c r="S54" s="71">
        <f t="shared" si="22"/>
        <v>-357539.91736582754</v>
      </c>
      <c r="T54" s="71">
        <f t="shared" si="22"/>
        <v>-349860.47983348265</v>
      </c>
      <c r="U54" s="71">
        <f t="shared" si="22"/>
        <v>-342345.98545279383</v>
      </c>
      <c r="V54" s="71">
        <f t="shared" si="22"/>
        <v>-334992.89148470457</v>
      </c>
      <c r="W54" s="71">
        <f t="shared" si="22"/>
        <v>-327797.73128304182</v>
      </c>
      <c r="X54" s="71">
        <f t="shared" si="22"/>
        <v>-320757.11266015156</v>
      </c>
      <c r="Y54" s="71">
        <f t="shared" si="22"/>
        <v>-313867.716287638</v>
      </c>
      <c r="Z54" s="71">
        <f t="shared" si="22"/>
        <v>-307126.29413145263</v>
      </c>
      <c r="AA54" s="71">
        <f t="shared" si="22"/>
        <v>-300529.66792059556</v>
      </c>
      <c r="AB54" s="71">
        <f t="shared" si="22"/>
        <v>-294074.72764870647</v>
      </c>
      <c r="AC54" s="71">
        <f t="shared" si="22"/>
        <v>-287758.43010783941</v>
      </c>
      <c r="AD54" s="71">
        <f t="shared" si="22"/>
        <v>-281577.79745373008</v>
      </c>
      <c r="AE54" s="71">
        <f t="shared" si="22"/>
        <v>-275529.91580187884</v>
      </c>
      <c r="AF54" s="71">
        <f t="shared" si="22"/>
        <v>-269611.93385378824</v>
      </c>
      <c r="AG54" s="71">
        <f t="shared" si="22"/>
        <v>-263821.06155270635</v>
      </c>
      <c r="AH54" s="71">
        <f t="shared" si="22"/>
        <v>-258154.56876824348</v>
      </c>
      <c r="AI54" s="71">
        <f t="shared" si="22"/>
        <v>-252609.7840092406</v>
      </c>
      <c r="AJ54" s="71">
        <f t="shared" si="22"/>
        <v>-247184.0931642846</v>
      </c>
      <c r="AK54" s="71">
        <f t="shared" si="22"/>
        <v>-241874.93826927408</v>
      </c>
      <c r="AL54" s="71">
        <f t="shared" si="22"/>
        <v>-236679.81630145712</v>
      </c>
      <c r="AM54" s="71">
        <f t="shared" si="22"/>
        <v>-231596.27799937094</v>
      </c>
      <c r="AN54" s="71">
        <f t="shared" si="22"/>
        <v>-226621.92670812755</v>
      </c>
      <c r="AO54" s="71">
        <f t="shared" si="22"/>
        <v>-221754.41724950104</v>
      </c>
      <c r="AP54" s="71">
        <f t="shared" si="22"/>
        <v>-216991.45481628366</v>
      </c>
      <c r="AQ54" s="71">
        <f t="shared" si="22"/>
        <v>-212330.79389038958</v>
      </c>
    </row>
    <row r="55" spans="1:43">
      <c r="A55" s="27"/>
      <c r="B55" s="27"/>
      <c r="C55" s="27" t="s">
        <v>29</v>
      </c>
      <c r="D55" s="71">
        <f t="shared" si="18"/>
        <v>-6777314.6947695315</v>
      </c>
      <c r="H55" s="71">
        <f t="shared" ref="H55:AQ55" si="23">H51*H27</f>
        <v>-170964.0367282333</v>
      </c>
      <c r="I55" s="71">
        <f t="shared" si="23"/>
        <v>-171892.50720510769</v>
      </c>
      <c r="J55" s="71">
        <f t="shared" si="23"/>
        <v>-172826.02001394206</v>
      </c>
      <c r="K55" s="71">
        <f t="shared" si="23"/>
        <v>-173764.60253860321</v>
      </c>
      <c r="L55" s="71">
        <f t="shared" si="23"/>
        <v>-174708.28231167354</v>
      </c>
      <c r="M55" s="71">
        <f t="shared" si="23"/>
        <v>-175657.08701525963</v>
      </c>
      <c r="N55" s="71">
        <f t="shared" si="23"/>
        <v>-176611.04448180372</v>
      </c>
      <c r="O55" s="71">
        <f t="shared" si="23"/>
        <v>-177570.18269490026</v>
      </c>
      <c r="P55" s="71">
        <f t="shared" si="23"/>
        <v>-178534.52979011697</v>
      </c>
      <c r="Q55" s="71">
        <f t="shared" si="23"/>
        <v>-179504.11405581995</v>
      </c>
      <c r="R55" s="71">
        <f t="shared" si="23"/>
        <v>-180478.96393400364</v>
      </c>
      <c r="S55" s="71">
        <f t="shared" si="23"/>
        <v>-181459.10802112505</v>
      </c>
      <c r="T55" s="71">
        <f t="shared" si="23"/>
        <v>-182444.57506894271</v>
      </c>
      <c r="U55" s="71">
        <f t="shared" si="23"/>
        <v>-183435.39398536005</v>
      </c>
      <c r="V55" s="71">
        <f t="shared" si="23"/>
        <v>-184431.59383527318</v>
      </c>
      <c r="W55" s="71">
        <f t="shared" si="23"/>
        <v>-185433.20384142394</v>
      </c>
      <c r="X55" s="71">
        <f t="shared" si="23"/>
        <v>-186440.25338525677</v>
      </c>
      <c r="Y55" s="71">
        <f t="shared" si="23"/>
        <v>-187452.77200778062</v>
      </c>
      <c r="Z55" s="71">
        <f t="shared" si="23"/>
        <v>-188470.78941043551</v>
      </c>
      <c r="AA55" s="71">
        <f t="shared" si="23"/>
        <v>-189494.33545596406</v>
      </c>
      <c r="AB55" s="71">
        <f t="shared" si="23"/>
        <v>-190523.44016928723</v>
      </c>
      <c r="AC55" s="71">
        <f t="shared" si="23"/>
        <v>-191558.13373838508</v>
      </c>
      <c r="AD55" s="71">
        <f t="shared" si="23"/>
        <v>-192598.44651518244</v>
      </c>
      <c r="AE55" s="71">
        <f t="shared" si="23"/>
        <v>-193644.40901643917</v>
      </c>
      <c r="AF55" s="71">
        <f t="shared" si="23"/>
        <v>-194696.05192464529</v>
      </c>
      <c r="AG55" s="71">
        <f t="shared" si="23"/>
        <v>-195753.40608892121</v>
      </c>
      <c r="AH55" s="71">
        <f t="shared" si="23"/>
        <v>-196816.50252592261</v>
      </c>
      <c r="AI55" s="71">
        <f t="shared" si="23"/>
        <v>-197885.37242075001</v>
      </c>
      <c r="AJ55" s="71">
        <f t="shared" si="23"/>
        <v>-198960.04712786403</v>
      </c>
      <c r="AK55" s="71">
        <f t="shared" si="23"/>
        <v>-200040.55817200482</v>
      </c>
      <c r="AL55" s="71">
        <f t="shared" si="23"/>
        <v>-201126.93724911686</v>
      </c>
      <c r="AM55" s="71">
        <f t="shared" si="23"/>
        <v>-202219.21622727878</v>
      </c>
      <c r="AN55" s="71">
        <f t="shared" si="23"/>
        <v>-203317.42714763834</v>
      </c>
      <c r="AO55" s="71">
        <f t="shared" si="23"/>
        <v>-204421.60222535196</v>
      </c>
      <c r="AP55" s="71">
        <f t="shared" si="23"/>
        <v>-205531.77385053007</v>
      </c>
      <c r="AQ55" s="71">
        <f t="shared" si="23"/>
        <v>-206647.97458918695</v>
      </c>
    </row>
    <row r="56" spans="1:43">
      <c r="A56" s="27"/>
      <c r="B56" s="27"/>
      <c r="C56" s="27" t="s">
        <v>30</v>
      </c>
      <c r="D56" s="71">
        <f t="shared" si="18"/>
        <v>-4686419.3427468631</v>
      </c>
      <c r="H56" s="71">
        <f t="shared" ref="H56:AQ56" si="24">H52*H27</f>
        <v>-283030.53836240066</v>
      </c>
      <c r="I56" s="71">
        <f t="shared" si="24"/>
        <v>-272350.92455831921</v>
      </c>
      <c r="J56" s="71">
        <f t="shared" si="24"/>
        <v>-261875.70880197542</v>
      </c>
      <c r="K56" s="71">
        <f t="shared" si="24"/>
        <v>-251600.36523469054</v>
      </c>
      <c r="L56" s="71">
        <f t="shared" si="24"/>
        <v>-241520.46446976755</v>
      </c>
      <c r="M56" s="71">
        <f t="shared" si="24"/>
        <v>-231631.67151641136</v>
      </c>
      <c r="N56" s="71">
        <f t="shared" si="24"/>
        <v>-221929.74374821834</v>
      </c>
      <c r="O56" s="71">
        <f t="shared" si="24"/>
        <v>-212410.52891527835</v>
      </c>
      <c r="P56" s="71">
        <f t="shared" si="24"/>
        <v>-203069.96319895171</v>
      </c>
      <c r="Q56" s="71">
        <f t="shared" si="24"/>
        <v>-193904.06930840402</v>
      </c>
      <c r="R56" s="71">
        <f t="shared" si="24"/>
        <v>-184908.95461800377</v>
      </c>
      <c r="S56" s="71">
        <f t="shared" si="24"/>
        <v>-176080.80934470252</v>
      </c>
      <c r="T56" s="71">
        <f t="shared" si="24"/>
        <v>-167415.90476453991</v>
      </c>
      <c r="U56" s="71">
        <f t="shared" si="24"/>
        <v>-158910.59146743384</v>
      </c>
      <c r="V56" s="71">
        <f t="shared" si="24"/>
        <v>-150561.29764943136</v>
      </c>
      <c r="W56" s="71">
        <f t="shared" si="24"/>
        <v>-142364.52744161786</v>
      </c>
      <c r="X56" s="71">
        <f t="shared" si="24"/>
        <v>-134316.85927489484</v>
      </c>
      <c r="Y56" s="71">
        <f t="shared" si="24"/>
        <v>-126414.94427985743</v>
      </c>
      <c r="Z56" s="71">
        <f t="shared" si="24"/>
        <v>-118655.50472101713</v>
      </c>
      <c r="AA56" s="71">
        <f t="shared" si="24"/>
        <v>-111035.3324646315</v>
      </c>
      <c r="AB56" s="71">
        <f t="shared" si="24"/>
        <v>-103551.28747941923</v>
      </c>
      <c r="AC56" s="71">
        <f t="shared" si="24"/>
        <v>-96200.2963694543</v>
      </c>
      <c r="AD56" s="71">
        <f t="shared" si="24"/>
        <v>-88979.350938547606</v>
      </c>
      <c r="AE56" s="71">
        <f t="shared" si="24"/>
        <v>-81885.506785439691</v>
      </c>
      <c r="AF56" s="71">
        <f t="shared" si="24"/>
        <v>-74915.881929142954</v>
      </c>
      <c r="AG56" s="71">
        <f t="shared" si="24"/>
        <v>-68067.655463785108</v>
      </c>
      <c r="AH56" s="71">
        <f t="shared" si="24"/>
        <v>-61338.066242320871</v>
      </c>
      <c r="AI56" s="71">
        <f t="shared" si="24"/>
        <v>-54724.411588490606</v>
      </c>
      <c r="AJ56" s="71">
        <f t="shared" si="24"/>
        <v>-48224.046036420565</v>
      </c>
      <c r="AK56" s="71">
        <f t="shared" si="24"/>
        <v>-41834.380097269248</v>
      </c>
      <c r="AL56" s="71">
        <f t="shared" si="24"/>
        <v>-35552.879052340249</v>
      </c>
      <c r="AM56" s="71">
        <f t="shared" si="24"/>
        <v>-29377.061772092115</v>
      </c>
      <c r="AN56" s="71">
        <f t="shared" si="24"/>
        <v>-23304.499560489206</v>
      </c>
      <c r="AO56" s="71">
        <f t="shared" si="24"/>
        <v>-17332.815024149091</v>
      </c>
      <c r="AP56" s="71">
        <f t="shared" si="24"/>
        <v>-11459.680965753616</v>
      </c>
      <c r="AQ56" s="71">
        <f t="shared" si="24"/>
        <v>-5682.8193012026422</v>
      </c>
    </row>
    <row r="59" spans="1:43" s="168" customFormat="1" ht="21">
      <c r="A59" s="167" t="s">
        <v>183</v>
      </c>
    </row>
    <row r="61" spans="1:43" ht="21">
      <c r="A61" s="347" t="s">
        <v>1</v>
      </c>
      <c r="B61" s="348"/>
      <c r="C61" s="348"/>
      <c r="D61" s="349"/>
      <c r="F61" s="321" t="s">
        <v>2</v>
      </c>
      <c r="G61" s="322"/>
    </row>
    <row r="62" spans="1:43">
      <c r="A62" s="55" t="s">
        <v>3</v>
      </c>
      <c r="B62" s="22"/>
      <c r="C62" s="22"/>
      <c r="D62" s="131">
        <f>Data!D31</f>
        <v>2009</v>
      </c>
      <c r="F62" s="6" t="s">
        <v>4</v>
      </c>
      <c r="G62" s="7">
        <f>D68</f>
        <v>3213669</v>
      </c>
    </row>
    <row r="63" spans="1:43">
      <c r="A63" s="4" t="s">
        <v>5</v>
      </c>
      <c r="B63" s="126"/>
      <c r="C63" s="126"/>
      <c r="D63" s="8">
        <f>Data!F31</f>
        <v>2.75E-2</v>
      </c>
      <c r="F63" s="6" t="s">
        <v>6</v>
      </c>
      <c r="G63" s="9">
        <f>D89*-1</f>
        <v>4169036.2191196051</v>
      </c>
    </row>
    <row r="64" spans="1:43">
      <c r="A64" s="4" t="s">
        <v>7</v>
      </c>
      <c r="B64" s="126"/>
      <c r="C64" s="126"/>
      <c r="D64" s="10">
        <f>Data!G31</f>
        <v>4.5</v>
      </c>
      <c r="F64" s="11" t="s">
        <v>8</v>
      </c>
      <c r="G64" s="12">
        <f>D93*-1</f>
        <v>2779323.6840960602</v>
      </c>
    </row>
    <row r="65" spans="1:13">
      <c r="A65" s="4" t="s">
        <v>9</v>
      </c>
      <c r="B65" s="126"/>
      <c r="C65" s="126"/>
      <c r="D65" s="10">
        <f>Data!E31</f>
        <v>14</v>
      </c>
      <c r="I65" s="258"/>
      <c r="J65" s="258"/>
      <c r="K65" s="258"/>
      <c r="L65" s="258"/>
      <c r="M65" s="258"/>
    </row>
    <row r="66" spans="1:13">
      <c r="A66" s="4" t="s">
        <v>10</v>
      </c>
      <c r="B66" s="126"/>
      <c r="C66" s="126"/>
      <c r="D66" s="10">
        <v>2</v>
      </c>
      <c r="F66" s="321" t="s">
        <v>11</v>
      </c>
      <c r="G66" s="322"/>
      <c r="I66" s="288"/>
      <c r="J66" s="258"/>
      <c r="K66" s="258"/>
      <c r="L66" s="258"/>
      <c r="M66" s="258"/>
    </row>
    <row r="67" spans="1:13">
      <c r="A67" s="4" t="s">
        <v>12</v>
      </c>
      <c r="B67" s="126"/>
      <c r="C67" s="126"/>
      <c r="D67" s="10">
        <f>(D65-D64)*2</f>
        <v>19</v>
      </c>
      <c r="F67" s="6" t="s">
        <v>4</v>
      </c>
      <c r="G67" s="7">
        <f>D68</f>
        <v>3213669</v>
      </c>
      <c r="I67" s="289"/>
      <c r="J67" s="258"/>
      <c r="K67" s="258"/>
      <c r="L67" s="258"/>
      <c r="M67" s="258"/>
    </row>
    <row r="68" spans="1:13">
      <c r="A68" s="4" t="s">
        <v>156</v>
      </c>
      <c r="B68" s="126"/>
      <c r="C68" s="126"/>
      <c r="D68" s="147">
        <f>Data!B31</f>
        <v>3213669</v>
      </c>
      <c r="F68" s="6" t="s">
        <v>14</v>
      </c>
      <c r="G68" s="9">
        <f>D79</f>
        <v>2003401</v>
      </c>
      <c r="I68" s="290"/>
      <c r="J68" s="290"/>
      <c r="K68" s="290"/>
      <c r="L68" s="258"/>
      <c r="M68" s="258"/>
    </row>
    <row r="69" spans="1:13">
      <c r="A69" s="13" t="s">
        <v>15</v>
      </c>
      <c r="B69" s="14"/>
      <c r="C69" s="14"/>
      <c r="D69" s="195">
        <v>4.3900000000000002E-2</v>
      </c>
      <c r="F69" s="6" t="s">
        <v>6</v>
      </c>
      <c r="G69" s="9">
        <f>(D108+D100)*-1</f>
        <v>3351740.3512623762</v>
      </c>
      <c r="I69" s="291"/>
      <c r="J69" s="291"/>
      <c r="K69" s="291"/>
      <c r="L69" s="258"/>
      <c r="M69" s="258"/>
    </row>
    <row r="70" spans="1:13">
      <c r="F70" s="11" t="s">
        <v>8</v>
      </c>
      <c r="G70" s="12">
        <f>(D112+D103)*-1</f>
        <v>1855250.1454400218</v>
      </c>
      <c r="I70" s="291"/>
      <c r="J70" s="291"/>
      <c r="K70" s="291"/>
      <c r="L70" s="258"/>
      <c r="M70" s="258"/>
    </row>
    <row r="71" spans="1:13" ht="20.399999999999999">
      <c r="A71" s="354" t="s">
        <v>16</v>
      </c>
      <c r="B71" s="355"/>
      <c r="C71" s="355"/>
      <c r="D71" s="356"/>
      <c r="F71" s="16"/>
      <c r="I71" s="291"/>
      <c r="J71" s="291"/>
      <c r="K71" s="291"/>
      <c r="L71" s="258"/>
      <c r="M71" s="258"/>
    </row>
    <row r="72" spans="1:13">
      <c r="A72" s="132" t="s">
        <v>17</v>
      </c>
      <c r="B72" s="133"/>
      <c r="C72" s="133"/>
      <c r="D72" s="134">
        <f>Data!H31</f>
        <v>2015</v>
      </c>
      <c r="F72" s="323" t="s">
        <v>109</v>
      </c>
      <c r="G72" s="324"/>
      <c r="I72" s="291"/>
      <c r="J72" s="291"/>
      <c r="K72" s="291"/>
      <c r="L72" s="258"/>
      <c r="M72" s="258"/>
    </row>
    <row r="73" spans="1:13">
      <c r="A73" s="135" t="s">
        <v>5</v>
      </c>
      <c r="B73" s="136"/>
      <c r="C73" s="136"/>
      <c r="D73" s="145">
        <f>Data!N31</f>
        <v>2.75E-2</v>
      </c>
      <c r="F73" s="121" t="s">
        <v>44</v>
      </c>
      <c r="G73" s="118" t="s">
        <v>45</v>
      </c>
      <c r="I73" s="291"/>
      <c r="J73" s="291"/>
      <c r="K73" s="291"/>
      <c r="L73" s="258"/>
      <c r="M73" s="258"/>
    </row>
    <row r="74" spans="1:13">
      <c r="A74" s="135" t="s">
        <v>7</v>
      </c>
      <c r="B74" s="136"/>
      <c r="C74" s="136"/>
      <c r="D74" s="137">
        <f>Data!O31</f>
        <v>4.5</v>
      </c>
      <c r="F74" s="119">
        <f>(1-((D63/D66)/D80))*(1-(((1/((1+D80)^(D66*D64)))-(1/((1+D80)^(D66*D65))))/(D80*(D66*D65-D66*D64))))</f>
        <v>0.16190219655339114</v>
      </c>
      <c r="G74" s="122">
        <f>(1-((D73/D76)/D80))*(1-(((1/((1+D80)^(D76*D74)))-(1/((1+D80)^(D76*D75))))/(D80*(D76*D75-D76*D74))))+(Data!K31/D68)</f>
        <v>0.53767426870050017</v>
      </c>
      <c r="I74" s="291"/>
      <c r="J74" s="292"/>
      <c r="K74" s="292"/>
      <c r="L74" s="258"/>
      <c r="M74" s="258"/>
    </row>
    <row r="75" spans="1:13">
      <c r="A75" s="135" t="s">
        <v>9</v>
      </c>
      <c r="B75" s="136"/>
      <c r="C75" s="136"/>
      <c r="D75" s="137">
        <f>Data!M31</f>
        <v>23.5</v>
      </c>
      <c r="I75" s="258"/>
      <c r="J75" s="258"/>
      <c r="K75" s="258"/>
      <c r="L75" s="258"/>
      <c r="M75" s="258"/>
    </row>
    <row r="76" spans="1:13">
      <c r="A76" s="135" t="s">
        <v>10</v>
      </c>
      <c r="B76" s="136"/>
      <c r="C76" s="136"/>
      <c r="D76" s="137">
        <v>2</v>
      </c>
      <c r="I76" s="258"/>
      <c r="J76" s="258"/>
      <c r="K76" s="258"/>
      <c r="L76" s="258"/>
      <c r="M76" s="258"/>
    </row>
    <row r="77" spans="1:13">
      <c r="A77" s="135" t="s">
        <v>12</v>
      </c>
      <c r="B77" s="136"/>
      <c r="C77" s="136"/>
      <c r="D77" s="137">
        <f>(D75-D74)*D76</f>
        <v>38</v>
      </c>
      <c r="I77" s="258"/>
      <c r="J77" s="258"/>
      <c r="K77" s="258"/>
      <c r="L77" s="258"/>
      <c r="M77" s="258"/>
    </row>
    <row r="78" spans="1:13">
      <c r="A78" s="135" t="s">
        <v>170</v>
      </c>
      <c r="B78" s="136"/>
      <c r="C78" s="136"/>
      <c r="D78" s="165">
        <f>Data!I31</f>
        <v>170324.45500000002</v>
      </c>
      <c r="I78" s="258"/>
      <c r="J78" s="258"/>
      <c r="K78" s="258"/>
      <c r="L78" s="258"/>
      <c r="M78" s="258"/>
    </row>
    <row r="79" spans="1:13">
      <c r="A79" s="135" t="s">
        <v>157</v>
      </c>
      <c r="B79" s="136"/>
      <c r="C79" s="136"/>
      <c r="D79" s="77">
        <f>Data!L31</f>
        <v>2003401</v>
      </c>
    </row>
    <row r="80" spans="1:13">
      <c r="A80" s="196" t="s">
        <v>187</v>
      </c>
      <c r="B80" s="14"/>
      <c r="C80" s="14"/>
      <c r="D80" s="195">
        <f>(1.05^0.5)-1</f>
        <v>2.4695076595959931E-2</v>
      </c>
    </row>
    <row r="82" spans="1:43" ht="46.8">
      <c r="A82" s="302" t="s">
        <v>43</v>
      </c>
      <c r="E82" s="53" t="s">
        <v>25</v>
      </c>
      <c r="H82" s="21" t="s">
        <v>40</v>
      </c>
      <c r="W82" s="51"/>
      <c r="X82" s="21" t="s">
        <v>21</v>
      </c>
      <c r="AQ82" s="21" t="s">
        <v>149</v>
      </c>
    </row>
    <row r="83" spans="1:43">
      <c r="A83" s="2" t="s">
        <v>23</v>
      </c>
      <c r="E83" s="139" t="s">
        <v>220</v>
      </c>
      <c r="F83" s="24">
        <v>41820</v>
      </c>
      <c r="G83" s="24">
        <v>42004</v>
      </c>
      <c r="H83" s="24">
        <v>42185</v>
      </c>
      <c r="I83" s="24">
        <v>42369</v>
      </c>
      <c r="J83" s="24">
        <v>42551</v>
      </c>
      <c r="K83" s="24">
        <v>42735</v>
      </c>
      <c r="L83" s="24">
        <v>42916</v>
      </c>
      <c r="M83" s="24">
        <v>43100</v>
      </c>
      <c r="N83" s="24">
        <v>43281</v>
      </c>
      <c r="O83" s="24">
        <v>43465</v>
      </c>
      <c r="P83" s="24">
        <v>43646</v>
      </c>
      <c r="Q83" s="24">
        <v>43830</v>
      </c>
      <c r="R83" s="24">
        <v>44012</v>
      </c>
      <c r="S83" s="24">
        <v>44196</v>
      </c>
      <c r="T83" s="24">
        <v>44377</v>
      </c>
      <c r="U83" s="24">
        <v>44561</v>
      </c>
      <c r="V83" s="24">
        <v>44742</v>
      </c>
      <c r="W83" s="24">
        <v>44926</v>
      </c>
      <c r="X83" s="24">
        <v>45107</v>
      </c>
      <c r="Y83" s="24">
        <v>45291</v>
      </c>
      <c r="Z83" s="24">
        <v>45473</v>
      </c>
      <c r="AA83" s="24">
        <v>45657</v>
      </c>
      <c r="AB83" s="24">
        <v>45838</v>
      </c>
      <c r="AC83" s="24">
        <v>46022</v>
      </c>
      <c r="AD83" s="24">
        <v>46203</v>
      </c>
      <c r="AE83" s="24">
        <v>46387</v>
      </c>
      <c r="AF83" s="24">
        <v>46568</v>
      </c>
      <c r="AG83" s="24">
        <v>46752</v>
      </c>
      <c r="AH83" s="24">
        <v>46934</v>
      </c>
      <c r="AI83" s="24">
        <v>47118</v>
      </c>
      <c r="AJ83" s="24">
        <v>47299</v>
      </c>
      <c r="AK83" s="24">
        <v>47483</v>
      </c>
      <c r="AL83" s="24">
        <v>47664</v>
      </c>
      <c r="AM83" s="24">
        <v>47848</v>
      </c>
      <c r="AN83" s="24">
        <v>48029</v>
      </c>
      <c r="AO83" s="24">
        <v>48213</v>
      </c>
      <c r="AP83" s="24">
        <v>48395</v>
      </c>
      <c r="AQ83" s="24">
        <v>48579</v>
      </c>
    </row>
    <row r="84" spans="1:43">
      <c r="A84" s="2" t="s">
        <v>38</v>
      </c>
      <c r="F84">
        <v>10</v>
      </c>
      <c r="G84">
        <v>11</v>
      </c>
      <c r="H84">
        <v>12</v>
      </c>
      <c r="I84">
        <v>13</v>
      </c>
      <c r="J84">
        <v>14</v>
      </c>
      <c r="K84">
        <v>15</v>
      </c>
      <c r="L84">
        <v>16</v>
      </c>
      <c r="M84">
        <v>17</v>
      </c>
      <c r="N84">
        <v>18</v>
      </c>
      <c r="O84">
        <v>19</v>
      </c>
      <c r="P84">
        <v>20</v>
      </c>
      <c r="Q84">
        <v>21</v>
      </c>
      <c r="R84">
        <v>22</v>
      </c>
      <c r="S84">
        <v>23</v>
      </c>
      <c r="T84">
        <v>24</v>
      </c>
      <c r="U84">
        <v>25</v>
      </c>
      <c r="V84">
        <v>26</v>
      </c>
      <c r="W84">
        <v>27</v>
      </c>
      <c r="X84">
        <v>28</v>
      </c>
      <c r="Y84">
        <v>29</v>
      </c>
      <c r="Z84">
        <v>30</v>
      </c>
      <c r="AA84">
        <v>31</v>
      </c>
      <c r="AB84">
        <v>32</v>
      </c>
      <c r="AC84">
        <v>33</v>
      </c>
      <c r="AD84">
        <v>34</v>
      </c>
      <c r="AE84">
        <v>35</v>
      </c>
      <c r="AF84">
        <v>36</v>
      </c>
      <c r="AG84">
        <v>37</v>
      </c>
      <c r="AH84">
        <v>38</v>
      </c>
      <c r="AI84">
        <v>39</v>
      </c>
      <c r="AJ84">
        <v>40</v>
      </c>
      <c r="AK84">
        <v>41</v>
      </c>
      <c r="AL84">
        <v>42</v>
      </c>
      <c r="AM84">
        <v>43</v>
      </c>
      <c r="AN84">
        <v>44</v>
      </c>
      <c r="AO84">
        <v>45</v>
      </c>
      <c r="AP84">
        <v>46</v>
      </c>
      <c r="AQ84">
        <v>47</v>
      </c>
    </row>
    <row r="85" spans="1:43">
      <c r="A85" s="2" t="s">
        <v>26</v>
      </c>
      <c r="F85" s="138">
        <f>1/((1+($D$11/$D$8))^(F84))</f>
        <v>0.80482882087095997</v>
      </c>
      <c r="G85" s="138">
        <f>1/((1+($D$11/$D$8))^(G84))</f>
        <v>0.78754226808646211</v>
      </c>
      <c r="H85" s="138">
        <f t="shared" ref="H85:AQ85" si="25">1/((1+($D$11/$D$8))^(H84))</f>
        <v>0.77062700531969497</v>
      </c>
      <c r="I85" s="138">
        <f t="shared" si="25"/>
        <v>0.75407505780096395</v>
      </c>
      <c r="J85" s="138">
        <f t="shared" si="25"/>
        <v>0.7378786220470317</v>
      </c>
      <c r="K85" s="138">
        <f t="shared" si="25"/>
        <v>0.72203006218213384</v>
      </c>
      <c r="L85" s="138">
        <f t="shared" si="25"/>
        <v>0.70652190633801448</v>
      </c>
      <c r="M85" s="138">
        <f t="shared" si="25"/>
        <v>0.69134684313128292</v>
      </c>
      <c r="N85" s="138">
        <f t="shared" si="25"/>
        <v>0.67649771821643234</v>
      </c>
      <c r="O85" s="138">
        <f t="shared" si="25"/>
        <v>0.66196753091289429</v>
      </c>
      <c r="P85" s="138">
        <f t="shared" si="25"/>
        <v>0.64774943090453974</v>
      </c>
      <c r="Q85" s="138">
        <f t="shared" si="25"/>
        <v>0.63383671501006877</v>
      </c>
      <c r="R85" s="138">
        <f t="shared" si="25"/>
        <v>0.62022282402276907</v>
      </c>
      <c r="S85" s="138">
        <f t="shared" si="25"/>
        <v>0.60690133961815074</v>
      </c>
      <c r="T85" s="138">
        <f t="shared" si="25"/>
        <v>0.59386598132800117</v>
      </c>
      <c r="U85" s="138">
        <f t="shared" si="25"/>
        <v>0.58111060357943267</v>
      </c>
      <c r="V85" s="138">
        <f t="shared" si="25"/>
        <v>0.56862919279752699</v>
      </c>
      <c r="W85" s="138">
        <f t="shared" si="25"/>
        <v>0.55641586457021086</v>
      </c>
      <c r="X85" s="138">
        <f t="shared" si="25"/>
        <v>0.54446486087402612</v>
      </c>
      <c r="Y85" s="138">
        <f t="shared" si="25"/>
        <v>0.53277054735948559</v>
      </c>
      <c r="Z85" s="138">
        <f t="shared" si="25"/>
        <v>0.52132741069473609</v>
      </c>
      <c r="AA85" s="138">
        <f t="shared" si="25"/>
        <v>0.51013005596627636</v>
      </c>
      <c r="AB85" s="138">
        <f t="shared" si="25"/>
        <v>0.49917320413550209</v>
      </c>
      <c r="AC85" s="138">
        <f t="shared" si="25"/>
        <v>0.48845168954988222</v>
      </c>
      <c r="AD85" s="138">
        <f t="shared" si="25"/>
        <v>0.47796045750759064</v>
      </c>
      <c r="AE85" s="138">
        <f t="shared" si="25"/>
        <v>0.46769456187444658</v>
      </c>
      <c r="AF85" s="138">
        <f t="shared" si="25"/>
        <v>0.45764916275203943</v>
      </c>
      <c r="AG85" s="138">
        <f t="shared" si="25"/>
        <v>0.44781952419593857</v>
      </c>
      <c r="AH85" s="138">
        <f t="shared" si="25"/>
        <v>0.43820101198291372</v>
      </c>
      <c r="AI85" s="138">
        <f t="shared" si="25"/>
        <v>0.42878909142611055</v>
      </c>
      <c r="AJ85" s="138">
        <f t="shared" si="25"/>
        <v>0.41957932523715508</v>
      </c>
      <c r="AK85" s="138">
        <f t="shared" si="25"/>
        <v>0.41056737143417499</v>
      </c>
      <c r="AL85" s="138">
        <f t="shared" si="25"/>
        <v>0.40174898129475517</v>
      </c>
      <c r="AM85" s="138">
        <f t="shared" si="25"/>
        <v>0.39311999735285991</v>
      </c>
      <c r="AN85" s="138">
        <f t="shared" si="25"/>
        <v>0.38467635143877871</v>
      </c>
      <c r="AO85" s="138">
        <f t="shared" si="25"/>
        <v>0.37641406276117112</v>
      </c>
      <c r="AP85" s="138">
        <f t="shared" si="25"/>
        <v>0.36832923603030593</v>
      </c>
      <c r="AQ85" s="138">
        <f t="shared" si="25"/>
        <v>0.36041805962161155</v>
      </c>
    </row>
    <row r="87" spans="1:43" ht="21">
      <c r="A87" s="29" t="s">
        <v>27</v>
      </c>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row>
    <row r="88" spans="1:43">
      <c r="A88" s="2" t="s">
        <v>37</v>
      </c>
      <c r="F88">
        <v>1</v>
      </c>
      <c r="G88">
        <v>2</v>
      </c>
      <c r="H88">
        <v>3</v>
      </c>
      <c r="I88">
        <v>4</v>
      </c>
      <c r="J88">
        <v>5</v>
      </c>
      <c r="K88">
        <v>6</v>
      </c>
      <c r="L88">
        <v>7</v>
      </c>
      <c r="M88">
        <v>8</v>
      </c>
      <c r="N88">
        <v>9</v>
      </c>
      <c r="O88">
        <v>10</v>
      </c>
      <c r="P88">
        <v>11</v>
      </c>
      <c r="Q88">
        <v>12</v>
      </c>
      <c r="R88">
        <v>13</v>
      </c>
      <c r="S88">
        <v>14</v>
      </c>
      <c r="T88">
        <v>15</v>
      </c>
      <c r="U88">
        <v>16</v>
      </c>
      <c r="V88">
        <v>17</v>
      </c>
      <c r="W88">
        <v>18</v>
      </c>
      <c r="X88">
        <v>19</v>
      </c>
    </row>
    <row r="89" spans="1:43">
      <c r="A89" s="27"/>
      <c r="B89" s="26" t="s">
        <v>28</v>
      </c>
      <c r="C89" s="27"/>
      <c r="D89" s="71">
        <f>SUM(F89:AQ89)</f>
        <v>-4169036.2191196051</v>
      </c>
      <c r="E89" s="71"/>
      <c r="F89" s="71">
        <f>PMT($D$63,$D$67,$D$68)</f>
        <v>-219422.95890103182</v>
      </c>
      <c r="G89" s="71">
        <f t="shared" ref="G89:X89" si="26">PMT($D$63,$D$67,$D$68)</f>
        <v>-219422.95890103182</v>
      </c>
      <c r="H89" s="71">
        <f t="shared" si="26"/>
        <v>-219422.95890103182</v>
      </c>
      <c r="I89" s="71">
        <f t="shared" si="26"/>
        <v>-219422.95890103182</v>
      </c>
      <c r="J89" s="71">
        <f t="shared" si="26"/>
        <v>-219422.95890103182</v>
      </c>
      <c r="K89" s="71">
        <f t="shared" si="26"/>
        <v>-219422.95890103182</v>
      </c>
      <c r="L89" s="71">
        <f t="shared" si="26"/>
        <v>-219422.95890103182</v>
      </c>
      <c r="M89" s="71">
        <f t="shared" si="26"/>
        <v>-219422.95890103182</v>
      </c>
      <c r="N89" s="71">
        <f t="shared" si="26"/>
        <v>-219422.95890103182</v>
      </c>
      <c r="O89" s="71">
        <f t="shared" si="26"/>
        <v>-219422.95890103182</v>
      </c>
      <c r="P89" s="71">
        <f t="shared" si="26"/>
        <v>-219422.95890103182</v>
      </c>
      <c r="Q89" s="71">
        <f t="shared" si="26"/>
        <v>-219422.95890103182</v>
      </c>
      <c r="R89" s="71">
        <f t="shared" si="26"/>
        <v>-219422.95890103182</v>
      </c>
      <c r="S89" s="71">
        <f t="shared" si="26"/>
        <v>-219422.95890103182</v>
      </c>
      <c r="T89" s="71">
        <f t="shared" si="26"/>
        <v>-219422.95890103182</v>
      </c>
      <c r="U89" s="71">
        <f t="shared" si="26"/>
        <v>-219422.95890103182</v>
      </c>
      <c r="V89" s="71">
        <f t="shared" si="26"/>
        <v>-219422.95890103182</v>
      </c>
      <c r="W89" s="71">
        <f t="shared" si="26"/>
        <v>-219422.95890103182</v>
      </c>
      <c r="X89" s="71">
        <f t="shared" si="26"/>
        <v>-219422.95890103182</v>
      </c>
      <c r="Y89" s="71"/>
    </row>
    <row r="90" spans="1:43">
      <c r="A90" s="27"/>
      <c r="B90" s="27"/>
      <c r="C90" s="27" t="s">
        <v>29</v>
      </c>
      <c r="D90" s="71">
        <f t="shared" ref="D90:D95" si="27">SUM(F90:AQ90)</f>
        <v>-3213669</v>
      </c>
      <c r="E90" s="71"/>
      <c r="F90" s="71">
        <f>PPMT($D$63,F$88,$D$67,$D$68)</f>
        <v>-131047.06140103181</v>
      </c>
      <c r="G90" s="71">
        <f t="shared" ref="G90:X90" si="28">PPMT($D$63,G$88,$D$67,$D$68)</f>
        <v>-134650.85558956017</v>
      </c>
      <c r="H90" s="71">
        <f t="shared" si="28"/>
        <v>-138353.75411827306</v>
      </c>
      <c r="I90" s="71">
        <f t="shared" si="28"/>
        <v>-142158.48235652558</v>
      </c>
      <c r="J90" s="71">
        <f t="shared" si="28"/>
        <v>-146067.84062133005</v>
      </c>
      <c r="K90" s="71">
        <f t="shared" si="28"/>
        <v>-150084.70623841661</v>
      </c>
      <c r="L90" s="71">
        <f t="shared" si="28"/>
        <v>-154212.0356599731</v>
      </c>
      <c r="M90" s="71">
        <f t="shared" si="28"/>
        <v>-158452.86664062232</v>
      </c>
      <c r="N90" s="71">
        <f t="shared" si="28"/>
        <v>-162810.32047323944</v>
      </c>
      <c r="O90" s="71">
        <f t="shared" si="28"/>
        <v>-167287.60428625354</v>
      </c>
      <c r="P90" s="71">
        <f t="shared" si="28"/>
        <v>-171888.01340412552</v>
      </c>
      <c r="Q90" s="71">
        <f t="shared" si="28"/>
        <v>-176614.93377273896</v>
      </c>
      <c r="R90" s="71">
        <f t="shared" si="28"/>
        <v>-181471.84445148928</v>
      </c>
      <c r="S90" s="71">
        <f t="shared" si="28"/>
        <v>-186462.32017390523</v>
      </c>
      <c r="T90" s="71">
        <f t="shared" si="28"/>
        <v>-191590.03397868763</v>
      </c>
      <c r="U90" s="71">
        <f t="shared" si="28"/>
        <v>-196858.75991310153</v>
      </c>
      <c r="V90" s="71">
        <f t="shared" si="28"/>
        <v>-202272.37581071182</v>
      </c>
      <c r="W90" s="71">
        <f t="shared" si="28"/>
        <v>-207834.86614550641</v>
      </c>
      <c r="X90" s="71">
        <f t="shared" si="28"/>
        <v>-213550.32496450786</v>
      </c>
      <c r="Y90" s="71"/>
    </row>
    <row r="91" spans="1:43">
      <c r="A91" s="27"/>
      <c r="B91" s="27"/>
      <c r="C91" s="27" t="s">
        <v>30</v>
      </c>
      <c r="D91" s="71">
        <f t="shared" si="27"/>
        <v>-955367.21911960433</v>
      </c>
      <c r="E91" s="71"/>
      <c r="F91" s="71">
        <f>IPMT($D$63,F$88,$D$67,$D$68)</f>
        <v>-88375.897500000006</v>
      </c>
      <c r="G91" s="71">
        <f t="shared" ref="G91:X91" si="29">IPMT($D$63,G$88,$D$67,$D$68)</f>
        <v>-84772.103311471641</v>
      </c>
      <c r="H91" s="71">
        <f t="shared" si="29"/>
        <v>-81069.204782758723</v>
      </c>
      <c r="I91" s="71">
        <f t="shared" si="29"/>
        <v>-77264.476544506222</v>
      </c>
      <c r="J91" s="71">
        <f t="shared" si="29"/>
        <v>-73355.118279701768</v>
      </c>
      <c r="K91" s="71">
        <f t="shared" si="29"/>
        <v>-69338.252662615181</v>
      </c>
      <c r="L91" s="71">
        <f t="shared" si="29"/>
        <v>-65210.923241058736</v>
      </c>
      <c r="M91" s="71">
        <f t="shared" si="29"/>
        <v>-60970.092260409474</v>
      </c>
      <c r="N91" s="71">
        <f t="shared" si="29"/>
        <v>-56612.638427792357</v>
      </c>
      <c r="O91" s="71">
        <f t="shared" si="29"/>
        <v>-52135.354614778276</v>
      </c>
      <c r="P91" s="71">
        <f t="shared" si="29"/>
        <v>-47534.945496906301</v>
      </c>
      <c r="Q91" s="71">
        <f t="shared" si="29"/>
        <v>-42808.025128292837</v>
      </c>
      <c r="R91" s="71">
        <f t="shared" si="29"/>
        <v>-37951.114449542525</v>
      </c>
      <c r="S91" s="71">
        <f t="shared" si="29"/>
        <v>-32960.638727126563</v>
      </c>
      <c r="T91" s="71">
        <f t="shared" si="29"/>
        <v>-27832.924922344177</v>
      </c>
      <c r="U91" s="71">
        <f t="shared" si="29"/>
        <v>-22564.19898793026</v>
      </c>
      <c r="V91" s="71">
        <f t="shared" si="29"/>
        <v>-17150.583090319971</v>
      </c>
      <c r="W91" s="71">
        <f t="shared" si="29"/>
        <v>-11588.092755525395</v>
      </c>
      <c r="X91" s="71">
        <f t="shared" si="29"/>
        <v>-5872.6339365239673</v>
      </c>
      <c r="Y91" s="71"/>
    </row>
    <row r="92" spans="1:43">
      <c r="A92" s="27"/>
      <c r="B92" s="33" t="s">
        <v>31</v>
      </c>
      <c r="C92" s="33"/>
      <c r="D92" s="71"/>
      <c r="E92" s="71">
        <f>D68</f>
        <v>3213669</v>
      </c>
      <c r="F92" s="71">
        <f>E92+F90</f>
        <v>3082621.9385989681</v>
      </c>
      <c r="G92" s="71">
        <f t="shared" ref="G92:X92" si="30">F92+G90</f>
        <v>2947971.0830094079</v>
      </c>
      <c r="H92" s="71">
        <f t="shared" si="30"/>
        <v>2809617.3288911348</v>
      </c>
      <c r="I92" s="71">
        <f t="shared" si="30"/>
        <v>2667458.8465346093</v>
      </c>
      <c r="J92" s="71">
        <f t="shared" si="30"/>
        <v>2521391.0059132795</v>
      </c>
      <c r="K92" s="71">
        <f t="shared" si="30"/>
        <v>2371306.299674863</v>
      </c>
      <c r="L92" s="71">
        <f t="shared" si="30"/>
        <v>2217094.26401489</v>
      </c>
      <c r="M92" s="71">
        <f t="shared" si="30"/>
        <v>2058641.3973742677</v>
      </c>
      <c r="N92" s="71">
        <f t="shared" si="30"/>
        <v>1895831.0769010282</v>
      </c>
      <c r="O92" s="71">
        <f t="shared" si="30"/>
        <v>1728543.4726147747</v>
      </c>
      <c r="P92" s="71">
        <f t="shared" si="30"/>
        <v>1556655.4592106491</v>
      </c>
      <c r="Q92" s="71">
        <f t="shared" si="30"/>
        <v>1380040.5254379101</v>
      </c>
      <c r="R92" s="71">
        <f t="shared" si="30"/>
        <v>1198568.6809864207</v>
      </c>
      <c r="S92" s="71">
        <f t="shared" si="30"/>
        <v>1012106.3608125155</v>
      </c>
      <c r="T92" s="71">
        <f t="shared" si="30"/>
        <v>820516.32683382789</v>
      </c>
      <c r="U92" s="71">
        <f t="shared" si="30"/>
        <v>623657.56692072633</v>
      </c>
      <c r="V92" s="71">
        <f t="shared" si="30"/>
        <v>421385.19111001451</v>
      </c>
      <c r="W92" s="71">
        <f t="shared" si="30"/>
        <v>213550.32496450809</v>
      </c>
      <c r="X92" s="71">
        <f t="shared" si="30"/>
        <v>2.3283064365386963E-10</v>
      </c>
      <c r="Y92" s="71"/>
    </row>
    <row r="93" spans="1:43">
      <c r="A93" s="27"/>
      <c r="B93" s="26" t="s">
        <v>32</v>
      </c>
      <c r="C93" s="27"/>
      <c r="D93" s="71">
        <f t="shared" si="27"/>
        <v>-2779323.6840960602</v>
      </c>
      <c r="E93" s="71"/>
      <c r="F93" s="71">
        <f>F89*F85</f>
        <v>-176597.92128433456</v>
      </c>
      <c r="G93" s="71">
        <f t="shared" ref="G93:X93" si="31">G89*G85</f>
        <v>-172804.85472316114</v>
      </c>
      <c r="H93" s="71">
        <f t="shared" si="31"/>
        <v>-169093.25771628864</v>
      </c>
      <c r="I93" s="71">
        <f t="shared" si="31"/>
        <v>-165461.3804161541</v>
      </c>
      <c r="J93" s="71">
        <f t="shared" si="31"/>
        <v>-161907.51055937583</v>
      </c>
      <c r="K93" s="71">
        <f t="shared" si="31"/>
        <v>-158429.97265949979</v>
      </c>
      <c r="L93" s="71">
        <f t="shared" si="31"/>
        <v>-155027.12721708481</v>
      </c>
      <c r="M93" s="71">
        <f t="shared" si="31"/>
        <v>-151697.36994675358</v>
      </c>
      <c r="N93" s="71">
        <f t="shared" si="31"/>
        <v>-148439.13102084605</v>
      </c>
      <c r="O93" s="71">
        <f t="shared" si="31"/>
        <v>-145250.87432931751</v>
      </c>
      <c r="P93" s="71">
        <f t="shared" si="31"/>
        <v>-142131.09675553357</v>
      </c>
      <c r="Q93" s="71">
        <f t="shared" si="31"/>
        <v>-139078.32746761933</v>
      </c>
      <c r="R93" s="71">
        <f t="shared" si="31"/>
        <v>-136091.12722502995</v>
      </c>
      <c r="S93" s="71">
        <f t="shared" si="31"/>
        <v>-133168.08770001464</v>
      </c>
      <c r="T93" s="71">
        <f t="shared" si="31"/>
        <v>-130307.83081365493</v>
      </c>
      <c r="U93" s="71">
        <f t="shared" si="31"/>
        <v>-127509.00808616365</v>
      </c>
      <c r="V93" s="71">
        <f t="shared" si="31"/>
        <v>-124770.30000113866</v>
      </c>
      <c r="W93" s="71">
        <f t="shared" si="31"/>
        <v>-122090.41538347147</v>
      </c>
      <c r="X93" s="71">
        <f t="shared" si="31"/>
        <v>-119468.09079061744</v>
      </c>
      <c r="Y93" s="71"/>
    </row>
    <row r="94" spans="1:43">
      <c r="A94" s="27"/>
      <c r="B94" s="27"/>
      <c r="C94" s="27" t="s">
        <v>29</v>
      </c>
      <c r="D94" s="71">
        <f t="shared" si="27"/>
        <v>-2104966.2099610609</v>
      </c>
      <c r="E94" s="71"/>
      <c r="F94" s="71">
        <f>F90*F85</f>
        <v>-105470.45190599673</v>
      </c>
      <c r="G94" s="71">
        <f t="shared" ref="G94:X94" si="32">G90*G85</f>
        <v>-106043.24021078489</v>
      </c>
      <c r="H94" s="71">
        <f t="shared" si="32"/>
        <v>-106619.13921090218</v>
      </c>
      <c r="I94" s="71">
        <f t="shared" si="32"/>
        <v>-107198.16579989434</v>
      </c>
      <c r="J94" s="71">
        <f t="shared" si="32"/>
        <v>-107780.33696305245</v>
      </c>
      <c r="K94" s="71">
        <f t="shared" si="32"/>
        <v>-108365.66977791123</v>
      </c>
      <c r="L94" s="71">
        <f t="shared" si="32"/>
        <v>-108954.18141475007</v>
      </c>
      <c r="M94" s="71">
        <f t="shared" si="32"/>
        <v>-109545.88913709641</v>
      </c>
      <c r="N94" s="71">
        <f t="shared" si="32"/>
        <v>-110140.81030223258</v>
      </c>
      <c r="O94" s="71">
        <f t="shared" si="32"/>
        <v>-110738.96236170457</v>
      </c>
      <c r="P94" s="71">
        <f t="shared" si="32"/>
        <v>-111340.3628618342</v>
      </c>
      <c r="Q94" s="71">
        <f t="shared" si="32"/>
        <v>-111945.02944423372</v>
      </c>
      <c r="R94" s="71">
        <f t="shared" si="32"/>
        <v>-112552.97984632336</v>
      </c>
      <c r="S94" s="71">
        <f t="shared" si="32"/>
        <v>-113164.23190185161</v>
      </c>
      <c r="T94" s="71">
        <f t="shared" si="32"/>
        <v>-113778.80354141841</v>
      </c>
      <c r="U94" s="71">
        <f t="shared" si="32"/>
        <v>-114396.71279300106</v>
      </c>
      <c r="V94" s="71">
        <f t="shared" si="32"/>
        <v>-115017.97778248308</v>
      </c>
      <c r="W94" s="71">
        <f t="shared" si="32"/>
        <v>-115642.616734186</v>
      </c>
      <c r="X94" s="71">
        <f t="shared" si="32"/>
        <v>-116270.64797140384</v>
      </c>
      <c r="Y94" s="71"/>
    </row>
    <row r="95" spans="1:43">
      <c r="A95" s="27"/>
      <c r="B95" s="27"/>
      <c r="C95" s="27" t="s">
        <v>30</v>
      </c>
      <c r="D95" s="71">
        <f t="shared" si="27"/>
        <v>-674357.47413499886</v>
      </c>
      <c r="E95" s="71"/>
      <c r="F95" s="71">
        <f>F91*F85</f>
        <v>-71127.469378337817</v>
      </c>
      <c r="G95" s="71">
        <f t="shared" ref="G95:X95" si="33">G91*G85</f>
        <v>-66761.614512376254</v>
      </c>
      <c r="H95" s="71">
        <f t="shared" si="33"/>
        <v>-62474.118505386446</v>
      </c>
      <c r="I95" s="71">
        <f t="shared" si="33"/>
        <v>-58263.214616259756</v>
      </c>
      <c r="J95" s="71">
        <f t="shared" si="33"/>
        <v>-54127.173596323366</v>
      </c>
      <c r="K95" s="71">
        <f t="shared" si="33"/>
        <v>-50064.302881588548</v>
      </c>
      <c r="L95" s="71">
        <f t="shared" si="33"/>
        <v>-46072.945802334754</v>
      </c>
      <c r="M95" s="71">
        <f t="shared" si="33"/>
        <v>-42151.480809657158</v>
      </c>
      <c r="N95" s="71">
        <f t="shared" si="33"/>
        <v>-38298.320718613446</v>
      </c>
      <c r="O95" s="71">
        <f t="shared" si="33"/>
        <v>-34511.911967612941</v>
      </c>
      <c r="P95" s="71">
        <f t="shared" si="33"/>
        <v>-30790.733893699369</v>
      </c>
      <c r="Q95" s="71">
        <f t="shared" si="33"/>
        <v>-27133.298023385611</v>
      </c>
      <c r="R95" s="71">
        <f t="shared" si="33"/>
        <v>-23538.147378706581</v>
      </c>
      <c r="S95" s="71">
        <f t="shared" si="33"/>
        <v>-20003.855798163011</v>
      </c>
      <c r="T95" s="71">
        <f t="shared" si="33"/>
        <v>-16529.027272236504</v>
      </c>
      <c r="U95" s="71">
        <f t="shared" si="33"/>
        <v>-13112.295293162577</v>
      </c>
      <c r="V95" s="71">
        <f t="shared" si="33"/>
        <v>-9752.3222186555613</v>
      </c>
      <c r="W95" s="71">
        <f t="shared" si="33"/>
        <v>-6447.7986492854598</v>
      </c>
      <c r="X95" s="71">
        <f t="shared" si="33"/>
        <v>-3197.4428192136061</v>
      </c>
      <c r="Y95" s="71"/>
    </row>
    <row r="97" spans="1:43" ht="21">
      <c r="A97" s="29" t="s">
        <v>33</v>
      </c>
      <c r="B97" s="30"/>
      <c r="C97" s="30"/>
      <c r="D97" s="30"/>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row>
    <row r="98" spans="1:43">
      <c r="A98" s="36" t="s">
        <v>169</v>
      </c>
      <c r="B98" s="44"/>
      <c r="C98" s="37"/>
      <c r="D98" s="37"/>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row>
    <row r="99" spans="1:43" s="141" customFormat="1">
      <c r="A99" s="2" t="s">
        <v>37</v>
      </c>
      <c r="B99"/>
      <c r="C99"/>
      <c r="D99" s="142"/>
    </row>
    <row r="100" spans="1:43" s="141" customFormat="1">
      <c r="A100" s="27"/>
      <c r="B100" s="26" t="s">
        <v>28</v>
      </c>
      <c r="C100" s="27"/>
      <c r="D100" s="155">
        <f>SUM(F100:AQ100)</f>
        <v>-170324.45500000002</v>
      </c>
      <c r="F100" s="155">
        <f>$D$78/2*-1</f>
        <v>-85162.227500000008</v>
      </c>
      <c r="G100" s="155">
        <f>$D$78/2*-1</f>
        <v>-85162.227500000008</v>
      </c>
    </row>
    <row r="101" spans="1:43" s="141" customFormat="1">
      <c r="A101" s="27"/>
      <c r="B101" s="27"/>
      <c r="C101" s="27" t="s">
        <v>29</v>
      </c>
      <c r="D101" s="155"/>
    </row>
    <row r="102" spans="1:43" s="141" customFormat="1">
      <c r="A102" s="27"/>
      <c r="B102" s="27"/>
      <c r="C102" s="27" t="s">
        <v>30</v>
      </c>
      <c r="D102" s="155"/>
    </row>
    <row r="103" spans="1:43" s="141" customFormat="1">
      <c r="A103" s="27"/>
      <c r="B103" s="26" t="s">
        <v>32</v>
      </c>
      <c r="C103" s="27"/>
      <c r="D103" s="155">
        <f t="shared" ref="D103" si="34">SUM(F103:AQ103)</f>
        <v>-135609.86894221473</v>
      </c>
      <c r="F103" s="155">
        <f>F100*F85</f>
        <v>-68541.015141569442</v>
      </c>
      <c r="G103" s="155">
        <f>G100*G85</f>
        <v>-67068.853800645287</v>
      </c>
    </row>
    <row r="104" spans="1:43" s="141" customFormat="1">
      <c r="A104" s="27"/>
      <c r="B104" s="27"/>
      <c r="C104" s="27" t="s">
        <v>29</v>
      </c>
      <c r="D104" s="142"/>
    </row>
    <row r="105" spans="1:43" s="141" customFormat="1">
      <c r="A105" s="27"/>
      <c r="B105" s="27"/>
      <c r="C105" s="27" t="s">
        <v>30</v>
      </c>
      <c r="D105" s="142"/>
    </row>
    <row r="106" spans="1:43">
      <c r="A106" s="36" t="s">
        <v>39</v>
      </c>
      <c r="B106" s="44"/>
      <c r="C106" s="37"/>
      <c r="D106" s="37"/>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row>
    <row r="107" spans="1:43">
      <c r="A107" s="140" t="s">
        <v>24</v>
      </c>
      <c r="B107" s="141"/>
      <c r="C107" s="142"/>
      <c r="D107" s="142"/>
      <c r="E107" s="141"/>
      <c r="F107" s="141"/>
      <c r="G107" s="141"/>
      <c r="H107" s="141">
        <v>1</v>
      </c>
      <c r="I107" s="141">
        <v>2</v>
      </c>
      <c r="J107" s="141">
        <v>3</v>
      </c>
      <c r="K107" s="141">
        <v>4</v>
      </c>
      <c r="L107" s="141">
        <v>5</v>
      </c>
      <c r="M107" s="141">
        <v>6</v>
      </c>
      <c r="N107" s="141">
        <v>7</v>
      </c>
      <c r="O107" s="141">
        <v>8</v>
      </c>
      <c r="P107" s="141">
        <v>9</v>
      </c>
      <c r="Q107" s="141">
        <v>10</v>
      </c>
      <c r="R107" s="141">
        <v>11</v>
      </c>
      <c r="S107" s="141">
        <v>12</v>
      </c>
      <c r="T107" s="141">
        <v>13</v>
      </c>
      <c r="U107" s="141">
        <v>14</v>
      </c>
      <c r="V107" s="141">
        <v>15</v>
      </c>
      <c r="W107" s="141">
        <v>16</v>
      </c>
      <c r="X107" s="141">
        <v>17</v>
      </c>
      <c r="Y107" s="141">
        <v>18</v>
      </c>
      <c r="Z107" s="141">
        <v>19</v>
      </c>
      <c r="AA107" s="141">
        <v>20</v>
      </c>
      <c r="AB107" s="141">
        <v>21</v>
      </c>
      <c r="AC107" s="141">
        <v>22</v>
      </c>
      <c r="AD107" s="141">
        <v>23</v>
      </c>
      <c r="AE107" s="141">
        <v>24</v>
      </c>
      <c r="AF107" s="141">
        <v>25</v>
      </c>
      <c r="AG107" s="141">
        <v>26</v>
      </c>
      <c r="AH107" s="141">
        <v>27</v>
      </c>
      <c r="AI107" s="141">
        <v>28</v>
      </c>
      <c r="AJ107" s="141">
        <v>29</v>
      </c>
      <c r="AK107" s="141">
        <v>30</v>
      </c>
      <c r="AL107" s="141">
        <v>31</v>
      </c>
      <c r="AM107" s="141">
        <v>32</v>
      </c>
      <c r="AN107" s="141">
        <v>33</v>
      </c>
      <c r="AO107" s="141">
        <v>34</v>
      </c>
      <c r="AP107" s="141">
        <v>35</v>
      </c>
      <c r="AQ107" s="141">
        <v>36</v>
      </c>
    </row>
    <row r="108" spans="1:43">
      <c r="A108" s="41"/>
      <c r="B108" s="26" t="s">
        <v>28</v>
      </c>
      <c r="C108" s="27"/>
      <c r="D108" s="71">
        <f>SUM(H108:AQ108)</f>
        <v>-3181415.8962623761</v>
      </c>
      <c r="H108" s="47">
        <f>PMT($D$73,$D$77-2,$D$79)</f>
        <v>-88372.663785066004</v>
      </c>
      <c r="I108" s="47">
        <f t="shared" ref="I108:AQ108" si="35">PMT($D$73,$D$77-2,$D$79)</f>
        <v>-88372.663785066004</v>
      </c>
      <c r="J108" s="47">
        <f t="shared" si="35"/>
        <v>-88372.663785066004</v>
      </c>
      <c r="K108" s="47">
        <f t="shared" si="35"/>
        <v>-88372.663785066004</v>
      </c>
      <c r="L108" s="47">
        <f t="shared" si="35"/>
        <v>-88372.663785066004</v>
      </c>
      <c r="M108" s="47">
        <f t="shared" si="35"/>
        <v>-88372.663785066004</v>
      </c>
      <c r="N108" s="47">
        <f t="shared" si="35"/>
        <v>-88372.663785066004</v>
      </c>
      <c r="O108" s="47">
        <f t="shared" si="35"/>
        <v>-88372.663785066004</v>
      </c>
      <c r="P108" s="47">
        <f t="shared" si="35"/>
        <v>-88372.663785066004</v>
      </c>
      <c r="Q108" s="47">
        <f t="shared" si="35"/>
        <v>-88372.663785066004</v>
      </c>
      <c r="R108" s="47">
        <f t="shared" si="35"/>
        <v>-88372.663785066004</v>
      </c>
      <c r="S108" s="47">
        <f t="shared" si="35"/>
        <v>-88372.663785066004</v>
      </c>
      <c r="T108" s="47">
        <f t="shared" si="35"/>
        <v>-88372.663785066004</v>
      </c>
      <c r="U108" s="47">
        <f t="shared" si="35"/>
        <v>-88372.663785066004</v>
      </c>
      <c r="V108" s="47">
        <f t="shared" si="35"/>
        <v>-88372.663785066004</v>
      </c>
      <c r="W108" s="47">
        <f t="shared" si="35"/>
        <v>-88372.663785066004</v>
      </c>
      <c r="X108" s="47">
        <f t="shared" si="35"/>
        <v>-88372.663785066004</v>
      </c>
      <c r="Y108" s="47">
        <f t="shared" si="35"/>
        <v>-88372.663785066004</v>
      </c>
      <c r="Z108" s="47">
        <f t="shared" si="35"/>
        <v>-88372.663785066004</v>
      </c>
      <c r="AA108" s="47">
        <f t="shared" si="35"/>
        <v>-88372.663785066004</v>
      </c>
      <c r="AB108" s="47">
        <f t="shared" si="35"/>
        <v>-88372.663785066004</v>
      </c>
      <c r="AC108" s="47">
        <f t="shared" si="35"/>
        <v>-88372.663785066004</v>
      </c>
      <c r="AD108" s="47">
        <f t="shared" si="35"/>
        <v>-88372.663785066004</v>
      </c>
      <c r="AE108" s="47">
        <f t="shared" si="35"/>
        <v>-88372.663785066004</v>
      </c>
      <c r="AF108" s="47">
        <f t="shared" si="35"/>
        <v>-88372.663785066004</v>
      </c>
      <c r="AG108" s="47">
        <f t="shared" si="35"/>
        <v>-88372.663785066004</v>
      </c>
      <c r="AH108" s="47">
        <f t="shared" si="35"/>
        <v>-88372.663785066004</v>
      </c>
      <c r="AI108" s="47">
        <f t="shared" si="35"/>
        <v>-88372.663785066004</v>
      </c>
      <c r="AJ108" s="47">
        <f t="shared" si="35"/>
        <v>-88372.663785066004</v>
      </c>
      <c r="AK108" s="47">
        <f t="shared" si="35"/>
        <v>-88372.663785066004</v>
      </c>
      <c r="AL108" s="47">
        <f t="shared" si="35"/>
        <v>-88372.663785066004</v>
      </c>
      <c r="AM108" s="47">
        <f t="shared" si="35"/>
        <v>-88372.663785066004</v>
      </c>
      <c r="AN108" s="47">
        <f t="shared" si="35"/>
        <v>-88372.663785066004</v>
      </c>
      <c r="AO108" s="47">
        <f t="shared" si="35"/>
        <v>-88372.663785066004</v>
      </c>
      <c r="AP108" s="47">
        <f t="shared" si="35"/>
        <v>-88372.663785066004</v>
      </c>
      <c r="AQ108" s="47">
        <f t="shared" si="35"/>
        <v>-88372.663785066004</v>
      </c>
    </row>
    <row r="109" spans="1:43">
      <c r="A109" s="41"/>
      <c r="B109" s="27"/>
      <c r="C109" s="27" t="s">
        <v>29</v>
      </c>
      <c r="D109" s="71">
        <f>SUM(H109:AQ109)</f>
        <v>-2003400.9999999998</v>
      </c>
      <c r="H109" s="47">
        <f>PPMT($D$73,H$107,$D$77-2,$D$79)</f>
        <v>-33279.136285066001</v>
      </c>
      <c r="I109" s="47">
        <f t="shared" ref="I109:AQ109" si="36">PPMT($D$73,I$107,$D$77-2,$D$79)</f>
        <v>-34194.312532905315</v>
      </c>
      <c r="J109" s="47">
        <f t="shared" si="36"/>
        <v>-35134.656127560207</v>
      </c>
      <c r="K109" s="47">
        <f t="shared" si="36"/>
        <v>-36100.859171068121</v>
      </c>
      <c r="L109" s="47">
        <f t="shared" si="36"/>
        <v>-37093.632798272491</v>
      </c>
      <c r="M109" s="47">
        <f t="shared" si="36"/>
        <v>-38113.707700224986</v>
      </c>
      <c r="N109" s="47">
        <f t="shared" si="36"/>
        <v>-39161.834661981171</v>
      </c>
      <c r="O109" s="47">
        <f t="shared" si="36"/>
        <v>-40238.785115185652</v>
      </c>
      <c r="P109" s="47">
        <f t="shared" si="36"/>
        <v>-41345.35170585326</v>
      </c>
      <c r="Q109" s="47">
        <f t="shared" si="36"/>
        <v>-42482.348877764227</v>
      </c>
      <c r="R109" s="47">
        <f t="shared" si="36"/>
        <v>-43650.613471902747</v>
      </c>
      <c r="S109" s="47">
        <f t="shared" si="36"/>
        <v>-44851.005342380071</v>
      </c>
      <c r="T109" s="47">
        <f t="shared" si="36"/>
        <v>-46084.40798929552</v>
      </c>
      <c r="U109" s="47">
        <f t="shared" si="36"/>
        <v>-47351.729209001147</v>
      </c>
      <c r="V109" s="47">
        <f t="shared" si="36"/>
        <v>-48653.901762248672</v>
      </c>
      <c r="W109" s="47">
        <f t="shared" si="36"/>
        <v>-49991.884060710516</v>
      </c>
      <c r="X109" s="47">
        <f t="shared" si="36"/>
        <v>-51366.660872380053</v>
      </c>
      <c r="Y109" s="47">
        <f t="shared" si="36"/>
        <v>-52779.244046370513</v>
      </c>
      <c r="Z109" s="47">
        <f t="shared" si="36"/>
        <v>-54230.673257645693</v>
      </c>
      <c r="AA109" s="47">
        <f t="shared" si="36"/>
        <v>-55722.016772230949</v>
      </c>
      <c r="AB109" s="47">
        <f t="shared" si="36"/>
        <v>-57254.3722334673</v>
      </c>
      <c r="AC109" s="47">
        <f t="shared" si="36"/>
        <v>-58828.867469887649</v>
      </c>
      <c r="AD109" s="47">
        <f t="shared" si="36"/>
        <v>-60446.661325309557</v>
      </c>
      <c r="AE109" s="47">
        <f t="shared" si="36"/>
        <v>-62108.944511755581</v>
      </c>
      <c r="AF109" s="47">
        <f t="shared" si="36"/>
        <v>-63816.940485828854</v>
      </c>
      <c r="AG109" s="47">
        <f t="shared" si="36"/>
        <v>-65571.906349189157</v>
      </c>
      <c r="AH109" s="47">
        <f t="shared" si="36"/>
        <v>-67375.133773791851</v>
      </c>
      <c r="AI109" s="47">
        <f t="shared" si="36"/>
        <v>-69227.949952571129</v>
      </c>
      <c r="AJ109" s="47">
        <f t="shared" si="36"/>
        <v>-71131.718576266838</v>
      </c>
      <c r="AK109" s="47">
        <f t="shared" si="36"/>
        <v>-73087.84083711417</v>
      </c>
      <c r="AL109" s="47">
        <f t="shared" si="36"/>
        <v>-75097.756460134813</v>
      </c>
      <c r="AM109" s="47">
        <f t="shared" si="36"/>
        <v>-77162.944762788509</v>
      </c>
      <c r="AN109" s="47">
        <f t="shared" si="36"/>
        <v>-79284.925743765198</v>
      </c>
      <c r="AO109" s="47">
        <f t="shared" si="36"/>
        <v>-81465.261201718749</v>
      </c>
      <c r="AP109" s="47">
        <f t="shared" si="36"/>
        <v>-83705.555884766014</v>
      </c>
      <c r="AQ109" s="47">
        <f t="shared" si="36"/>
        <v>-86007.458671597095</v>
      </c>
    </row>
    <row r="110" spans="1:43">
      <c r="A110" s="41"/>
      <c r="B110" s="27"/>
      <c r="C110" s="27" t="s">
        <v>30</v>
      </c>
      <c r="D110" s="71">
        <f>SUM(H110:AQ110)</f>
        <v>-1178014.8962623759</v>
      </c>
      <c r="H110" s="47">
        <f>IPMT($D$73,H$107,$D$77-2,$D$79)</f>
        <v>-55093.527500000004</v>
      </c>
      <c r="I110" s="47">
        <f t="shared" ref="I110:AQ110" si="37">IPMT($D$73,I$107,$D$77-2,$D$79)</f>
        <v>-54178.35125216069</v>
      </c>
      <c r="J110" s="47">
        <f t="shared" si="37"/>
        <v>-53238.00765750579</v>
      </c>
      <c r="K110" s="47">
        <f t="shared" si="37"/>
        <v>-52271.804613997898</v>
      </c>
      <c r="L110" s="47">
        <f t="shared" si="37"/>
        <v>-51279.030986793507</v>
      </c>
      <c r="M110" s="47">
        <f t="shared" si="37"/>
        <v>-50258.956084841026</v>
      </c>
      <c r="N110" s="47">
        <f t="shared" si="37"/>
        <v>-49210.829123084826</v>
      </c>
      <c r="O110" s="47">
        <f t="shared" si="37"/>
        <v>-48133.878669880345</v>
      </c>
      <c r="P110" s="47">
        <f t="shared" si="37"/>
        <v>-47027.312079212752</v>
      </c>
      <c r="Q110" s="47">
        <f t="shared" si="37"/>
        <v>-45890.314907301785</v>
      </c>
      <c r="R110" s="47">
        <f t="shared" si="37"/>
        <v>-44722.050313163265</v>
      </c>
      <c r="S110" s="47">
        <f t="shared" si="37"/>
        <v>-43521.658442685941</v>
      </c>
      <c r="T110" s="47">
        <f t="shared" si="37"/>
        <v>-42288.255795770485</v>
      </c>
      <c r="U110" s="47">
        <f t="shared" si="37"/>
        <v>-41020.934576064858</v>
      </c>
      <c r="V110" s="47">
        <f t="shared" si="37"/>
        <v>-39718.762022817318</v>
      </c>
      <c r="W110" s="47">
        <f t="shared" si="37"/>
        <v>-38380.779724355474</v>
      </c>
      <c r="X110" s="47">
        <f t="shared" si="37"/>
        <v>-37006.002912685944</v>
      </c>
      <c r="Y110" s="47">
        <f t="shared" si="37"/>
        <v>-35593.419738695491</v>
      </c>
      <c r="Z110" s="47">
        <f t="shared" si="37"/>
        <v>-34141.990527420305</v>
      </c>
      <c r="AA110" s="47">
        <f t="shared" si="37"/>
        <v>-32650.647012835052</v>
      </c>
      <c r="AB110" s="47">
        <f t="shared" si="37"/>
        <v>-31118.291551598697</v>
      </c>
      <c r="AC110" s="47">
        <f t="shared" si="37"/>
        <v>-29543.796315178344</v>
      </c>
      <c r="AD110" s="47">
        <f t="shared" si="37"/>
        <v>-27926.002459756433</v>
      </c>
      <c r="AE110" s="47">
        <f t="shared" si="37"/>
        <v>-26263.71927331042</v>
      </c>
      <c r="AF110" s="47">
        <f t="shared" si="37"/>
        <v>-24555.723299237143</v>
      </c>
      <c r="AG110" s="47">
        <f t="shared" si="37"/>
        <v>-22800.757435876851</v>
      </c>
      <c r="AH110" s="47">
        <f t="shared" si="37"/>
        <v>-20997.53001127415</v>
      </c>
      <c r="AI110" s="47">
        <f t="shared" si="37"/>
        <v>-19144.713832494872</v>
      </c>
      <c r="AJ110" s="47">
        <f t="shared" si="37"/>
        <v>-17240.945208799163</v>
      </c>
      <c r="AK110" s="47">
        <f t="shared" si="37"/>
        <v>-15284.822947951827</v>
      </c>
      <c r="AL110" s="47">
        <f t="shared" si="37"/>
        <v>-13274.907324931186</v>
      </c>
      <c r="AM110" s="47">
        <f t="shared" si="37"/>
        <v>-11209.719022277481</v>
      </c>
      <c r="AN110" s="47">
        <f t="shared" si="37"/>
        <v>-9087.7380413007941</v>
      </c>
      <c r="AO110" s="47">
        <f t="shared" si="37"/>
        <v>-6907.4025833472524</v>
      </c>
      <c r="AP110" s="47">
        <f t="shared" si="37"/>
        <v>-4667.1079002999859</v>
      </c>
      <c r="AQ110" s="47">
        <f t="shared" si="37"/>
        <v>-2365.20511346892</v>
      </c>
    </row>
    <row r="111" spans="1:43">
      <c r="A111" s="41"/>
      <c r="B111" s="33" t="s">
        <v>31</v>
      </c>
      <c r="C111" s="42"/>
      <c r="D111" s="27"/>
      <c r="G111" s="130">
        <f>D79</f>
        <v>2003401</v>
      </c>
      <c r="H111" s="71">
        <f>G111+H109</f>
        <v>1970121.8637149341</v>
      </c>
      <c r="I111" s="71">
        <f t="shared" ref="I111" si="38">H111+I109</f>
        <v>1935927.5511820288</v>
      </c>
      <c r="J111" s="71">
        <f t="shared" ref="J111" si="39">I111+J109</f>
        <v>1900792.8950544687</v>
      </c>
      <c r="K111" s="71">
        <f t="shared" ref="K111" si="40">J111+K109</f>
        <v>1864692.0358834006</v>
      </c>
      <c r="L111" s="71">
        <f t="shared" ref="L111" si="41">K111+L109</f>
        <v>1827598.4030851282</v>
      </c>
      <c r="M111" s="71">
        <f t="shared" ref="M111" si="42">L111+M109</f>
        <v>1789484.6953849031</v>
      </c>
      <c r="N111" s="71">
        <f t="shared" ref="N111" si="43">M111+N109</f>
        <v>1750322.860722922</v>
      </c>
      <c r="O111" s="71">
        <f t="shared" ref="O111" si="44">N111+O109</f>
        <v>1710084.0756077364</v>
      </c>
      <c r="P111" s="71">
        <f t="shared" ref="P111" si="45">O111+P109</f>
        <v>1668738.723901883</v>
      </c>
      <c r="Q111" s="71">
        <f t="shared" ref="Q111" si="46">P111+Q109</f>
        <v>1626256.3750241187</v>
      </c>
      <c r="R111" s="71">
        <f t="shared" ref="R111" si="47">Q111+R109</f>
        <v>1582605.761552216</v>
      </c>
      <c r="S111" s="71">
        <f t="shared" ref="S111" si="48">R111+S109</f>
        <v>1537754.7562098359</v>
      </c>
      <c r="T111" s="71">
        <f t="shared" ref="T111" si="49">S111+T109</f>
        <v>1491670.3482205404</v>
      </c>
      <c r="U111" s="71">
        <f t="shared" ref="U111" si="50">T111+U109</f>
        <v>1444318.6190115393</v>
      </c>
      <c r="V111" s="71">
        <f t="shared" ref="V111" si="51">U111+V109</f>
        <v>1395664.7172492906</v>
      </c>
      <c r="W111" s="71">
        <f t="shared" ref="W111" si="52">V111+W109</f>
        <v>1345672.8331885801</v>
      </c>
      <c r="X111" s="71">
        <f t="shared" ref="X111" si="53">W111+X109</f>
        <v>1294306.1723162001</v>
      </c>
      <c r="Y111" s="71">
        <f t="shared" ref="Y111" si="54">X111+Y109</f>
        <v>1241526.9282698296</v>
      </c>
      <c r="Z111" s="71">
        <f t="shared" ref="Z111" si="55">Y111+Z109</f>
        <v>1187296.2550121839</v>
      </c>
      <c r="AA111" s="71">
        <f t="shared" ref="AA111" si="56">Z111+AA109</f>
        <v>1131574.2382399531</v>
      </c>
      <c r="AB111" s="71">
        <f t="shared" ref="AB111" si="57">AA111+AB109</f>
        <v>1074319.8660064857</v>
      </c>
      <c r="AC111" s="71">
        <f t="shared" ref="AC111" si="58">AB111+AC109</f>
        <v>1015490.9985365981</v>
      </c>
      <c r="AD111" s="71">
        <f t="shared" ref="AD111" si="59">AC111+AD109</f>
        <v>955044.33721128851</v>
      </c>
      <c r="AE111" s="71">
        <f t="shared" ref="AE111" si="60">AD111+AE109</f>
        <v>892935.39269953291</v>
      </c>
      <c r="AF111" s="71">
        <f t="shared" ref="AF111" si="61">AE111+AF109</f>
        <v>829118.452213704</v>
      </c>
      <c r="AG111" s="71">
        <f t="shared" ref="AG111" si="62">AF111+AG109</f>
        <v>763546.54586451489</v>
      </c>
      <c r="AH111" s="71">
        <f t="shared" ref="AH111" si="63">AG111+AH109</f>
        <v>696171.41209072305</v>
      </c>
      <c r="AI111" s="71">
        <f t="shared" ref="AI111" si="64">AH111+AI109</f>
        <v>626943.46213815198</v>
      </c>
      <c r="AJ111" s="71">
        <f t="shared" ref="AJ111" si="65">AI111+AJ109</f>
        <v>555811.74356188509</v>
      </c>
      <c r="AK111" s="71">
        <f t="shared" ref="AK111" si="66">AJ111+AK109</f>
        <v>482723.90272477095</v>
      </c>
      <c r="AL111" s="71">
        <f t="shared" ref="AL111" si="67">AK111+AL109</f>
        <v>407626.14626463613</v>
      </c>
      <c r="AM111" s="71">
        <f t="shared" ref="AM111" si="68">AL111+AM109</f>
        <v>330463.20150184759</v>
      </c>
      <c r="AN111" s="71">
        <f t="shared" ref="AN111" si="69">AM111+AN109</f>
        <v>251178.2757580824</v>
      </c>
      <c r="AO111" s="71">
        <f t="shared" ref="AO111" si="70">AN111+AO109</f>
        <v>169713.01455636363</v>
      </c>
      <c r="AP111" s="71">
        <f t="shared" ref="AP111" si="71">AO111+AP109</f>
        <v>86007.458671597618</v>
      </c>
      <c r="AQ111" s="71">
        <f t="shared" ref="AQ111" si="72">AP111+AQ109</f>
        <v>5.2386894822120667E-10</v>
      </c>
    </row>
    <row r="112" spans="1:43" ht="21">
      <c r="A112" s="43"/>
      <c r="B112" s="26" t="s">
        <v>32</v>
      </c>
      <c r="C112" s="27"/>
      <c r="D112" s="71">
        <f>SUM(H112:AQ112)</f>
        <v>-1719640.2764978071</v>
      </c>
      <c r="H112" s="71">
        <f t="shared" ref="H112:AQ112" si="73">H108*H85</f>
        <v>-68102.361244809668</v>
      </c>
      <c r="I112" s="71">
        <f t="shared" si="73"/>
        <v>-66639.621551748802</v>
      </c>
      <c r="J112" s="71">
        <f t="shared" si="73"/>
        <v>-65208.299380350123</v>
      </c>
      <c r="K112" s="71">
        <f t="shared" si="73"/>
        <v>-63807.719927932012</v>
      </c>
      <c r="L112" s="71">
        <f t="shared" si="73"/>
        <v>-62437.222885593248</v>
      </c>
      <c r="M112" s="71">
        <f t="shared" si="73"/>
        <v>-61096.162126907635</v>
      </c>
      <c r="N112" s="71">
        <f t="shared" si="73"/>
        <v>-59783.9054033051</v>
      </c>
      <c r="O112" s="71">
        <f t="shared" si="73"/>
        <v>-58499.834045995492</v>
      </c>
      <c r="P112" s="71">
        <f t="shared" si="73"/>
        <v>-57243.342674294734</v>
      </c>
      <c r="Q112" s="71">
        <f t="shared" si="73"/>
        <v>-56013.838910215505</v>
      </c>
      <c r="R112" s="71">
        <f t="shared" si="73"/>
        <v>-54810.74309918833</v>
      </c>
      <c r="S112" s="71">
        <f t="shared" si="73"/>
        <v>-53633.488036780996</v>
      </c>
      <c r="T112" s="71">
        <f t="shared" si="73"/>
        <v>-52481.518701287736</v>
      </c>
      <c r="U112" s="71">
        <f t="shared" si="73"/>
        <v>-51354.291992061975</v>
      </c>
      <c r="V112" s="71">
        <f t="shared" si="73"/>
        <v>-50251.276473469326</v>
      </c>
      <c r="W112" s="71">
        <f t="shared" si="73"/>
        <v>-49171.952124340067</v>
      </c>
      <c r="X112" s="71">
        <f t="shared" si="73"/>
        <v>-48115.810092803047</v>
      </c>
      <c r="Y112" s="71">
        <f t="shared" si="73"/>
        <v>-47082.352456385408</v>
      </c>
      <c r="Z112" s="71">
        <f t="shared" si="73"/>
        <v>-46071.091987264939</v>
      </c>
      <c r="AA112" s="71">
        <f t="shared" si="73"/>
        <v>-45081.551922564642</v>
      </c>
      <c r="AB112" s="71">
        <f t="shared" si="73"/>
        <v>-44113.265739580849</v>
      </c>
      <c r="AC112" s="71">
        <f t="shared" si="73"/>
        <v>-43165.776935839182</v>
      </c>
      <c r="AD112" s="71">
        <f t="shared" si="73"/>
        <v>-42238.638813874633</v>
      </c>
      <c r="AE112" s="71">
        <f t="shared" si="73"/>
        <v>-41331.414270634217</v>
      </c>
      <c r="AF112" s="71">
        <f t="shared" si="73"/>
        <v>-40443.675591402935</v>
      </c>
      <c r="AG112" s="71">
        <f t="shared" si="73"/>
        <v>-39575.004248155907</v>
      </c>
      <c r="AH112" s="71">
        <f t="shared" si="73"/>
        <v>-38724.990702241717</v>
      </c>
      <c r="AI112" s="71">
        <f t="shared" si="73"/>
        <v>-37893.234211303592</v>
      </c>
      <c r="AJ112" s="71">
        <f t="shared" si="73"/>
        <v>-37079.342640347968</v>
      </c>
      <c r="AK112" s="71">
        <f t="shared" si="73"/>
        <v>-36282.932276870655</v>
      </c>
      <c r="AL112" s="71">
        <f t="shared" si="73"/>
        <v>-35503.627649954171</v>
      </c>
      <c r="AM112" s="71">
        <f t="shared" si="73"/>
        <v>-34741.061353250327</v>
      </c>
      <c r="AN112" s="71">
        <f t="shared" si="73"/>
        <v>-33994.873871765085</v>
      </c>
      <c r="AO112" s="71">
        <f t="shared" si="73"/>
        <v>-33264.713412363708</v>
      </c>
      <c r="AP112" s="71">
        <f t="shared" si="73"/>
        <v>-32550.235737916446</v>
      </c>
      <c r="AQ112" s="71">
        <f t="shared" si="73"/>
        <v>-31851.104005006553</v>
      </c>
    </row>
    <row r="113" spans="1:43">
      <c r="A113" s="27"/>
      <c r="B113" s="27"/>
      <c r="C113" s="27" t="s">
        <v>29</v>
      </c>
      <c r="D113" s="71">
        <f>SUM(H113:AQ113)</f>
        <v>-1016644.6009201959</v>
      </c>
      <c r="H113" s="71">
        <f t="shared" ref="H113:AQ113" si="74">H109*H85</f>
        <v>-25645.80113498641</v>
      </c>
      <c r="I113" s="71">
        <f t="shared" si="74"/>
        <v>-25785.078199714801</v>
      </c>
      <c r="J113" s="71">
        <f t="shared" si="74"/>
        <v>-25925.111649500424</v>
      </c>
      <c r="K113" s="71">
        <f t="shared" si="74"/>
        <v>-26065.905592114774</v>
      </c>
      <c r="L113" s="71">
        <f t="shared" si="74"/>
        <v>-26207.46415763778</v>
      </c>
      <c r="M113" s="71">
        <f t="shared" si="74"/>
        <v>-26349.791498579012</v>
      </c>
      <c r="N113" s="71">
        <f t="shared" si="74"/>
        <v>-26492.891789999452</v>
      </c>
      <c r="O113" s="71">
        <f t="shared" si="74"/>
        <v>-26636.76922963397</v>
      </c>
      <c r="P113" s="71">
        <f t="shared" si="74"/>
        <v>-26781.428038014492</v>
      </c>
      <c r="Q113" s="71">
        <f t="shared" si="74"/>
        <v>-26926.87245859376</v>
      </c>
      <c r="R113" s="71">
        <f t="shared" si="74"/>
        <v>-27073.106757869849</v>
      </c>
      <c r="S113" s="71">
        <f t="shared" si="74"/>
        <v>-27220.135225511302</v>
      </c>
      <c r="T113" s="71">
        <f t="shared" si="74"/>
        <v>-27367.96217448296</v>
      </c>
      <c r="U113" s="71">
        <f t="shared" si="74"/>
        <v>-27516.591941172508</v>
      </c>
      <c r="V113" s="71">
        <f t="shared" si="74"/>
        <v>-27666.028885517637</v>
      </c>
      <c r="W113" s="71">
        <f t="shared" si="74"/>
        <v>-27816.277391133986</v>
      </c>
      <c r="X113" s="71">
        <f t="shared" si="74"/>
        <v>-27967.341865443686</v>
      </c>
      <c r="Y113" s="71">
        <f t="shared" si="74"/>
        <v>-28119.22673980469</v>
      </c>
      <c r="Z113" s="71">
        <f t="shared" si="74"/>
        <v>-28271.936469640699</v>
      </c>
      <c r="AA113" s="71">
        <f t="shared" si="74"/>
        <v>-28425.475534571964</v>
      </c>
      <c r="AB113" s="71">
        <f t="shared" si="74"/>
        <v>-28579.848438546596</v>
      </c>
      <c r="AC113" s="71">
        <f t="shared" si="74"/>
        <v>-28735.059709972727</v>
      </c>
      <c r="AD113" s="71">
        <f t="shared" si="74"/>
        <v>-28891.113901851342</v>
      </c>
      <c r="AE113" s="71">
        <f t="shared" si="74"/>
        <v>-29048.01559190984</v>
      </c>
      <c r="AF113" s="71">
        <f t="shared" si="74"/>
        <v>-29205.769382736304</v>
      </c>
      <c r="AG113" s="71">
        <f t="shared" si="74"/>
        <v>-29364.37990191453</v>
      </c>
      <c r="AH113" s="71">
        <f t="shared" si="74"/>
        <v>-29523.851802159777</v>
      </c>
      <c r="AI113" s="71">
        <f t="shared" si="74"/>
        <v>-29684.189761455225</v>
      </c>
      <c r="AJ113" s="71">
        <f t="shared" si="74"/>
        <v>-29845.398483189249</v>
      </c>
      <c r="AK113" s="71">
        <f t="shared" si="74"/>
        <v>-30007.482696293315</v>
      </c>
      <c r="AL113" s="71">
        <f t="shared" si="74"/>
        <v>-30170.447155380782</v>
      </c>
      <c r="AM113" s="71">
        <f t="shared" si="74"/>
        <v>-30334.296640886292</v>
      </c>
      <c r="AN113" s="71">
        <f t="shared" si="74"/>
        <v>-30499.035959206096</v>
      </c>
      <c r="AO113" s="71">
        <f t="shared" si="74"/>
        <v>-30664.669942838958</v>
      </c>
      <c r="AP113" s="71">
        <f t="shared" si="74"/>
        <v>-30831.203450527944</v>
      </c>
      <c r="AQ113" s="71">
        <f t="shared" si="74"/>
        <v>-30998.641367402972</v>
      </c>
    </row>
    <row r="114" spans="1:43">
      <c r="A114" s="27"/>
      <c r="B114" s="27"/>
      <c r="C114" s="27" t="s">
        <v>30</v>
      </c>
      <c r="D114" s="71">
        <f>SUM(H114:AQ114)</f>
        <v>-702995.6755776105</v>
      </c>
      <c r="H114" s="71">
        <f t="shared" ref="H114:AQ114" si="75">H110*H85</f>
        <v>-42456.560109823266</v>
      </c>
      <c r="I114" s="71">
        <f t="shared" si="75"/>
        <v>-40854.543352034001</v>
      </c>
      <c r="J114" s="71">
        <f t="shared" si="75"/>
        <v>-39283.187730849691</v>
      </c>
      <c r="K114" s="71">
        <f t="shared" si="75"/>
        <v>-37741.814335817253</v>
      </c>
      <c r="L114" s="71">
        <f t="shared" si="75"/>
        <v>-36229.758727955465</v>
      </c>
      <c r="M114" s="71">
        <f t="shared" si="75"/>
        <v>-34746.370628328623</v>
      </c>
      <c r="N114" s="71">
        <f t="shared" si="75"/>
        <v>-33291.013613305644</v>
      </c>
      <c r="O114" s="71">
        <f t="shared" si="75"/>
        <v>-31863.064816361519</v>
      </c>
      <c r="P114" s="71">
        <f t="shared" si="75"/>
        <v>-30461.914636280246</v>
      </c>
      <c r="Q114" s="71">
        <f t="shared" si="75"/>
        <v>-29086.966451621753</v>
      </c>
      <c r="R114" s="71">
        <f t="shared" si="75"/>
        <v>-27737.636341318484</v>
      </c>
      <c r="S114" s="71">
        <f t="shared" si="75"/>
        <v>-26413.352811269699</v>
      </c>
      <c r="T114" s="71">
        <f t="shared" si="75"/>
        <v>-25113.556526804772</v>
      </c>
      <c r="U114" s="71">
        <f t="shared" si="75"/>
        <v>-23837.700050889467</v>
      </c>
      <c r="V114" s="71">
        <f t="shared" si="75"/>
        <v>-22585.247587951682</v>
      </c>
      <c r="W114" s="71">
        <f t="shared" si="75"/>
        <v>-21355.67473320607</v>
      </c>
      <c r="X114" s="71">
        <f t="shared" si="75"/>
        <v>-20148.468227359357</v>
      </c>
      <c r="Y114" s="71">
        <f t="shared" si="75"/>
        <v>-18963.125716580715</v>
      </c>
      <c r="Z114" s="71">
        <f t="shared" si="75"/>
        <v>-17799.155517624233</v>
      </c>
      <c r="AA114" s="71">
        <f t="shared" si="75"/>
        <v>-16656.076387992678</v>
      </c>
      <c r="AB114" s="71">
        <f t="shared" si="75"/>
        <v>-15533.417301034246</v>
      </c>
      <c r="AC114" s="71">
        <f t="shared" si="75"/>
        <v>-14430.717225866447</v>
      </c>
      <c r="AD114" s="71">
        <f t="shared" si="75"/>
        <v>-13347.524912023286</v>
      </c>
      <c r="AE114" s="71">
        <f t="shared" si="75"/>
        <v>-12283.398678724376</v>
      </c>
      <c r="AF114" s="71">
        <f t="shared" si="75"/>
        <v>-11237.906208666625</v>
      </c>
      <c r="AG114" s="71">
        <f t="shared" si="75"/>
        <v>-10210.62434624138</v>
      </c>
      <c r="AH114" s="71">
        <f t="shared" si="75"/>
        <v>-9201.1389000819345</v>
      </c>
      <c r="AI114" s="71">
        <f t="shared" si="75"/>
        <v>-8209.0444498483666</v>
      </c>
      <c r="AJ114" s="71">
        <f t="shared" si="75"/>
        <v>-7233.9441571587149</v>
      </c>
      <c r="AK114" s="71">
        <f t="shared" si="75"/>
        <v>-6275.4495805773395</v>
      </c>
      <c r="AL114" s="71">
        <f t="shared" si="75"/>
        <v>-5333.1804945733875</v>
      </c>
      <c r="AM114" s="71">
        <f t="shared" si="75"/>
        <v>-4406.7647123640263</v>
      </c>
      <c r="AN114" s="71">
        <f t="shared" si="75"/>
        <v>-3495.8379125589827</v>
      </c>
      <c r="AO114" s="71">
        <f t="shared" si="75"/>
        <v>-2600.0434695247482</v>
      </c>
      <c r="AP114" s="71">
        <f t="shared" si="75"/>
        <v>-1719.0322873884991</v>
      </c>
      <c r="AQ114" s="71">
        <f t="shared" si="75"/>
        <v>-852.4626376035817</v>
      </c>
    </row>
  </sheetData>
  <mergeCells count="10">
    <mergeCell ref="A61:D61"/>
    <mergeCell ref="F61:G61"/>
    <mergeCell ref="F66:G66"/>
    <mergeCell ref="A71:D71"/>
    <mergeCell ref="F72:G72"/>
    <mergeCell ref="A3:D3"/>
    <mergeCell ref="F3:G3"/>
    <mergeCell ref="F8:G8"/>
    <mergeCell ref="A13:D13"/>
    <mergeCell ref="F14:G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CC96-94B3-C544-80BB-BE3A56C42DF5}">
  <sheetPr>
    <tabColor rgb="FF00B050"/>
  </sheetPr>
  <dimension ref="A2:K46"/>
  <sheetViews>
    <sheetView zoomScale="120" zoomScaleNormal="120" workbookViewId="0">
      <selection activeCell="H1" sqref="H1:H1048576"/>
    </sheetView>
  </sheetViews>
  <sheetFormatPr defaultColWidth="11.19921875" defaultRowHeight="15.6"/>
  <cols>
    <col min="1" max="3" width="25" customWidth="1"/>
    <col min="4" max="4" width="20.69921875" customWidth="1"/>
    <col min="5" max="5" width="15.69921875" customWidth="1"/>
    <col min="6" max="6" width="18.296875" customWidth="1"/>
    <col min="7" max="7" width="20.5" customWidth="1"/>
    <col min="8" max="8" width="17.5" customWidth="1"/>
    <col min="9" max="9" width="18.296875" customWidth="1"/>
    <col min="10" max="10" width="19.69921875" customWidth="1"/>
    <col min="11" max="11" width="12" customWidth="1"/>
    <col min="15" max="15" width="15.5" customWidth="1"/>
  </cols>
  <sheetData>
    <row r="2" spans="1:11" ht="18">
      <c r="A2" s="335" t="s">
        <v>112</v>
      </c>
      <c r="B2" s="336"/>
      <c r="C2" s="336"/>
      <c r="D2" s="336"/>
      <c r="E2" s="336"/>
      <c r="F2" s="336"/>
      <c r="G2" s="336"/>
      <c r="H2" s="336"/>
      <c r="I2" s="336"/>
      <c r="J2" s="336"/>
      <c r="K2" s="337"/>
    </row>
    <row r="3" spans="1:11">
      <c r="A3" s="96"/>
      <c r="B3" s="125" t="s">
        <v>108</v>
      </c>
      <c r="C3" s="332" t="s">
        <v>107</v>
      </c>
      <c r="D3" s="333"/>
      <c r="E3" s="334"/>
      <c r="F3" s="333" t="s">
        <v>106</v>
      </c>
      <c r="G3" s="333"/>
      <c r="H3" s="334"/>
      <c r="I3" s="332" t="s">
        <v>109</v>
      </c>
      <c r="J3" s="333"/>
      <c r="K3" s="334"/>
    </row>
    <row r="4" spans="1:11">
      <c r="A4" s="97"/>
      <c r="B4" s="97"/>
      <c r="C4" s="98" t="s">
        <v>44</v>
      </c>
      <c r="D4" s="98" t="s">
        <v>45</v>
      </c>
      <c r="E4" s="252" t="s">
        <v>205</v>
      </c>
      <c r="F4" s="98" t="s">
        <v>91</v>
      </c>
      <c r="G4" s="98" t="s">
        <v>45</v>
      </c>
      <c r="H4" s="99" t="s">
        <v>205</v>
      </c>
      <c r="I4" s="98" t="s">
        <v>44</v>
      </c>
      <c r="J4" s="98" t="s">
        <v>45</v>
      </c>
      <c r="K4" s="99" t="s">
        <v>90</v>
      </c>
    </row>
    <row r="5" spans="1:11">
      <c r="A5" s="95" t="s">
        <v>46</v>
      </c>
      <c r="B5" s="100">
        <f>Data!B5</f>
        <v>84000000</v>
      </c>
      <c r="C5" s="101">
        <f>'ROC Loan #1'!$G$8</f>
        <v>86757264.158401892</v>
      </c>
      <c r="D5" s="101">
        <f>'ROC Loan #1'!$G$14</f>
        <v>97970172.358230561</v>
      </c>
      <c r="E5" s="269">
        <f>(D5-C5)/C5</f>
        <v>0.12924460341852273</v>
      </c>
      <c r="F5" s="310">
        <f>'ROC Loan #1'!$G$9</f>
        <v>57430996.553470522</v>
      </c>
      <c r="G5" s="310">
        <f>'ROC Loan #1'!$G$15</f>
        <v>56894348.342077404</v>
      </c>
      <c r="H5" s="277">
        <f t="shared" ref="H5:H13" si="0">(G5-F5)/F5</f>
        <v>-9.344226003347814E-3</v>
      </c>
      <c r="I5" s="123">
        <f>'ROC Loan #1'!$F$19</f>
        <v>0.37174856851743532</v>
      </c>
      <c r="J5" s="123">
        <f>'ROC Loan #1'!$G$19</f>
        <v>0.38478230541559127</v>
      </c>
      <c r="K5" s="272">
        <f>J5-I5</f>
        <v>1.3033736898155956E-2</v>
      </c>
    </row>
    <row r="6" spans="1:11">
      <c r="A6" s="95" t="s">
        <v>47</v>
      </c>
      <c r="B6" s="100">
        <f>Data!B6</f>
        <v>88000000</v>
      </c>
      <c r="C6" s="101">
        <f>'ROC Loan #2'!$G$8</f>
        <v>90888562.451659128</v>
      </c>
      <c r="D6" s="101">
        <f>'ROC Loan #2'!$G$14</f>
        <v>102635418.6610035</v>
      </c>
      <c r="E6" s="269">
        <f t="shared" ref="E6:E13" si="1">(D6-C6)/C6</f>
        <v>0.12924460341852331</v>
      </c>
      <c r="F6" s="310">
        <f>'ROC Loan #2'!$G$9</f>
        <v>60165805.913159579</v>
      </c>
      <c r="G6" s="310">
        <f>'ROC Loan #2'!$G$15</f>
        <v>59603603.025033504</v>
      </c>
      <c r="H6" s="277">
        <f t="shared" si="0"/>
        <v>-9.3442260033470143E-3</v>
      </c>
      <c r="I6" s="123">
        <f>'ROC Loan #2'!$F$19</f>
        <v>0.37174856851743532</v>
      </c>
      <c r="J6" s="123">
        <f>'ROC Loan #2'!$G$19</f>
        <v>0.38478230541559127</v>
      </c>
      <c r="K6" s="272">
        <f t="shared" ref="K6:K13" si="2">J6-I6</f>
        <v>1.3033736898155956E-2</v>
      </c>
    </row>
    <row r="7" spans="1:11">
      <c r="A7" s="95" t="s">
        <v>48</v>
      </c>
      <c r="B7" s="100">
        <f>Data!B7</f>
        <v>1000000000</v>
      </c>
      <c r="C7" s="101">
        <f>'ROC Loan #3'!$G$8</f>
        <v>1039217601.0787655</v>
      </c>
      <c r="D7" s="101">
        <f>'ROC Loan #3'!$G$14</f>
        <v>1519720041.8123455</v>
      </c>
      <c r="E7" s="269">
        <f t="shared" si="1"/>
        <v>0.4623694212211108</v>
      </c>
      <c r="F7" s="310">
        <f>'ROC Loan #3'!$G$9</f>
        <v>796545795.73588562</v>
      </c>
      <c r="G7" s="310">
        <f>'ROC Loan #3'!$G$15</f>
        <v>1047162225.8469102</v>
      </c>
      <c r="H7" s="269">
        <f t="shared" si="0"/>
        <v>0.31462902880492094</v>
      </c>
      <c r="I7" s="123">
        <f>'ROC Loan #3'!$F$19</f>
        <v>0.42828846920337682</v>
      </c>
      <c r="J7" s="123">
        <f>'ROC Loan #3'!$G$19</f>
        <v>0.35319963292891138</v>
      </c>
      <c r="K7" s="273">
        <f t="shared" si="2"/>
        <v>-7.5088836274465443E-2</v>
      </c>
    </row>
    <row r="8" spans="1:11">
      <c r="A8" s="95" t="s">
        <v>49</v>
      </c>
      <c r="B8" s="100">
        <f>Data!B8</f>
        <v>96363372.650000006</v>
      </c>
      <c r="C8" s="101">
        <f>'ROC Loan #4'!$G$8</f>
        <v>100142512.95719221</v>
      </c>
      <c r="D8" s="101">
        <f>'ROC Loan #4'!$G$14</f>
        <v>120153624.34062389</v>
      </c>
      <c r="E8" s="269">
        <f t="shared" si="1"/>
        <v>0.19982633541446873</v>
      </c>
      <c r="F8" s="310">
        <f>'ROC Loan #4'!$G$9</f>
        <v>66202635.442816846</v>
      </c>
      <c r="G8" s="310">
        <f>'ROC Loan #4'!$G$15</f>
        <v>69418902.630641207</v>
      </c>
      <c r="H8" s="269">
        <f t="shared" si="0"/>
        <v>4.8582162421652267E-2</v>
      </c>
      <c r="I8" s="123">
        <f>'ROC Loan #4'!$F$19</f>
        <v>0.40223376150929058</v>
      </c>
      <c r="J8" s="123">
        <f>'ROC Loan #4'!$G$19</f>
        <v>0.39913732195457152</v>
      </c>
      <c r="K8" s="273">
        <f t="shared" si="2"/>
        <v>-3.0964395547190549E-3</v>
      </c>
    </row>
    <row r="9" spans="1:11">
      <c r="A9" s="95" t="s">
        <v>50</v>
      </c>
      <c r="B9" s="100">
        <f>Data!B9</f>
        <v>56043600</v>
      </c>
      <c r="C9" s="101">
        <f>'ROC Loan #5'!$G$8</f>
        <v>57526376.042003743</v>
      </c>
      <c r="D9" s="101">
        <f>'ROC Loan #5'!$G$14</f>
        <v>77241201.587934926</v>
      </c>
      <c r="E9" s="269">
        <f t="shared" si="1"/>
        <v>0.34270932574539559</v>
      </c>
      <c r="F9" s="310">
        <f>'ROC Loan #5'!$G$9</f>
        <v>42726376.413291194</v>
      </c>
      <c r="G9" s="310">
        <f>'ROC Loan #5'!$G$15</f>
        <v>48604043.473890148</v>
      </c>
      <c r="H9" s="269">
        <f t="shared" si="0"/>
        <v>0.13756530635185218</v>
      </c>
      <c r="I9" s="123">
        <f>'ROC Loan #5'!$F$19</f>
        <v>0.33882226642123925</v>
      </c>
      <c r="J9" s="123">
        <f>'ROC Loan #5'!$G$19</f>
        <v>0.36936276656355727</v>
      </c>
      <c r="K9" s="272">
        <f t="shared" si="2"/>
        <v>3.0540500142318017E-2</v>
      </c>
    </row>
    <row r="10" spans="1:11">
      <c r="A10" s="95" t="s">
        <v>51</v>
      </c>
      <c r="B10" s="100">
        <f>Data!B10</f>
        <v>54800000</v>
      </c>
      <c r="C10" s="101">
        <f>'ROC Loan #6'!$G$8</f>
        <v>56110707.142887428</v>
      </c>
      <c r="D10" s="101">
        <f>'ROC Loan #6'!$G$14</f>
        <v>70815942.799030215</v>
      </c>
      <c r="E10" s="269">
        <f t="shared" si="1"/>
        <v>0.26207539353755616</v>
      </c>
      <c r="F10" s="310">
        <f>'ROC Loan #6'!$G$9</f>
        <v>46686125.778261527</v>
      </c>
      <c r="G10" s="310">
        <f>'ROC Loan #6'!$G$15</f>
        <v>52972176.32553377</v>
      </c>
      <c r="H10" s="269">
        <f t="shared" si="0"/>
        <v>0.13464493877963243</v>
      </c>
      <c r="I10" s="123">
        <f>'ROC Loan #6'!$F$19</f>
        <v>0.32491816195560769</v>
      </c>
      <c r="J10" s="123">
        <f>'ROC Loan #6'!$G$19</f>
        <v>0.36287602724746226</v>
      </c>
      <c r="K10" s="272">
        <f t="shared" si="2"/>
        <v>3.7957865291854576E-2</v>
      </c>
    </row>
    <row r="11" spans="1:11">
      <c r="A11" s="95" t="s">
        <v>52</v>
      </c>
      <c r="B11" s="100">
        <f>Data!B11</f>
        <v>328100000</v>
      </c>
      <c r="C11" s="101">
        <f>'ROC Loan #7'!$G$8</f>
        <v>338869742.50442439</v>
      </c>
      <c r="D11" s="101">
        <f>'ROC Loan #7'!$G$14</f>
        <v>456934445.63448906</v>
      </c>
      <c r="E11" s="269">
        <f t="shared" si="1"/>
        <v>0.34840733273353014</v>
      </c>
      <c r="F11" s="310">
        <f>'ROC Loan #7'!$G$9</f>
        <v>242230172.34695789</v>
      </c>
      <c r="G11" s="310">
        <f>'ROC Loan #7'!$G$15</f>
        <v>279852367.50310796</v>
      </c>
      <c r="H11" s="269">
        <f t="shared" si="0"/>
        <v>0.15531589145823665</v>
      </c>
      <c r="I11" s="123">
        <f>'ROC Loan #7'!$F$19</f>
        <v>0.37174856851743532</v>
      </c>
      <c r="J11" s="123">
        <f>'ROC Loan #7'!$G$19</f>
        <v>0.38478230541559127</v>
      </c>
      <c r="K11" s="272">
        <f t="shared" si="2"/>
        <v>1.3033736898155956E-2</v>
      </c>
    </row>
    <row r="12" spans="1:11">
      <c r="A12" s="103" t="s">
        <v>53</v>
      </c>
      <c r="B12" s="105">
        <f>Data!B12</f>
        <v>19191458.399999999</v>
      </c>
      <c r="C12" s="102">
        <f>'ROC Loan #8'!$G$8</f>
        <v>19699217.265002087</v>
      </c>
      <c r="D12" s="102">
        <f>'ROC Loan #8'!$G$14</f>
        <v>26450322.731603</v>
      </c>
      <c r="E12" s="269">
        <f t="shared" si="1"/>
        <v>0.3427093257453952</v>
      </c>
      <c r="F12" s="311">
        <f>'ROC Loan #8'!$G$9</f>
        <v>14631134.964891963</v>
      </c>
      <c r="G12" s="311">
        <f>'ROC Loan #8'!$G$15</f>
        <v>16643871.528612621</v>
      </c>
      <c r="H12" s="269">
        <f t="shared" si="0"/>
        <v>0.13756530635185216</v>
      </c>
      <c r="I12" s="124">
        <f>'ROC Loan #8'!$F$19</f>
        <v>0.33882226642123925</v>
      </c>
      <c r="J12" s="124">
        <f>'ROC Loan #8'!$G$19</f>
        <v>0.36936276656355727</v>
      </c>
      <c r="K12" s="274">
        <f t="shared" si="2"/>
        <v>3.0540500142318017E-2</v>
      </c>
    </row>
    <row r="13" spans="1:11" ht="18">
      <c r="A13" s="104" t="s">
        <v>54</v>
      </c>
      <c r="B13" s="106">
        <f>SUM(B5:B12)</f>
        <v>1726498431.0500002</v>
      </c>
      <c r="C13" s="102">
        <f t="shared" ref="C13:G13" si="3">SUM(C5:C12)</f>
        <v>1789211983.6003361</v>
      </c>
      <c r="D13" s="102">
        <f t="shared" si="3"/>
        <v>2471921169.925261</v>
      </c>
      <c r="E13" s="270">
        <f t="shared" si="1"/>
        <v>0.38156975952684241</v>
      </c>
      <c r="F13" s="311">
        <f t="shared" si="3"/>
        <v>1326619043.148735</v>
      </c>
      <c r="G13" s="311">
        <f t="shared" si="3"/>
        <v>1631151538.675807</v>
      </c>
      <c r="H13" s="271">
        <f t="shared" si="0"/>
        <v>0.22955534755800203</v>
      </c>
      <c r="I13" s="124">
        <f>SUMPRODUCT(I5:I12,$B5:$B12)/$B13</f>
        <v>0.40327714518965763</v>
      </c>
      <c r="J13" s="124">
        <f>SUMPRODUCT(J5:J12,$B5:$B12)/$B13</f>
        <v>0.36592336639623591</v>
      </c>
      <c r="K13" s="275">
        <f t="shared" si="2"/>
        <v>-3.7353778793421721E-2</v>
      </c>
    </row>
    <row r="14" spans="1:11">
      <c r="H14" s="239"/>
    </row>
    <row r="16" spans="1:11" ht="18">
      <c r="A16" s="335" t="s">
        <v>117</v>
      </c>
      <c r="B16" s="336"/>
      <c r="C16" s="336"/>
      <c r="D16" s="336"/>
      <c r="E16" s="336"/>
      <c r="F16" s="336"/>
      <c r="G16" s="336"/>
      <c r="H16" s="336"/>
      <c r="I16" s="336"/>
      <c r="J16" s="336"/>
      <c r="K16" s="268"/>
    </row>
    <row r="17" spans="1:11">
      <c r="A17" s="96"/>
      <c r="B17" s="125" t="s">
        <v>108</v>
      </c>
      <c r="C17" s="332" t="s">
        <v>107</v>
      </c>
      <c r="D17" s="333"/>
      <c r="E17" s="334"/>
      <c r="F17" s="333" t="s">
        <v>106</v>
      </c>
      <c r="G17" s="333"/>
      <c r="H17" s="334"/>
      <c r="I17" s="332" t="s">
        <v>109</v>
      </c>
      <c r="J17" s="333"/>
      <c r="K17" s="334"/>
    </row>
    <row r="18" spans="1:11">
      <c r="A18" s="97"/>
      <c r="B18" s="97"/>
      <c r="C18" s="98" t="s">
        <v>44</v>
      </c>
      <c r="D18" s="98" t="s">
        <v>45</v>
      </c>
      <c r="E18" s="252" t="s">
        <v>205</v>
      </c>
      <c r="F18" s="98" t="s">
        <v>91</v>
      </c>
      <c r="G18" s="98" t="s">
        <v>45</v>
      </c>
      <c r="H18" s="252" t="s">
        <v>205</v>
      </c>
      <c r="I18" s="98" t="s">
        <v>44</v>
      </c>
      <c r="J18" s="98" t="s">
        <v>45</v>
      </c>
      <c r="K18" s="99" t="s">
        <v>90</v>
      </c>
    </row>
    <row r="19" spans="1:11">
      <c r="A19" s="111" t="s">
        <v>99</v>
      </c>
      <c r="B19" s="106">
        <f>Data!B16</f>
        <v>551507000</v>
      </c>
      <c r="C19" s="112">
        <f>'ROC CMEC 2018 Loan'!G8</f>
        <v>565400270.88980782</v>
      </c>
      <c r="D19" s="112">
        <f>'ROC CMEC 2018 Loan'!G14</f>
        <v>567007752.59102774</v>
      </c>
      <c r="E19" s="269">
        <f>(D19-C19)/C19</f>
        <v>2.8430861886396268E-3</v>
      </c>
      <c r="F19" s="312">
        <f>'ROC CMEC 2018 Loan'!G9</f>
        <v>331557351.05209541</v>
      </c>
      <c r="G19" s="312">
        <f>'ROC CMEC 2018 Loan'!G15</f>
        <v>246670965.62366009</v>
      </c>
      <c r="H19" s="277">
        <f>(G19-F19)/F19</f>
        <v>-0.25602323446931413</v>
      </c>
      <c r="I19" s="124">
        <f>'ROC CMEC 2018 Loan'!F19</f>
        <v>0.39736840333355611</v>
      </c>
      <c r="J19" s="124">
        <f>'ROC CMEC 2018 Loan'!G19</f>
        <v>0.59423348501124684</v>
      </c>
      <c r="K19" s="274">
        <f>J19-I19</f>
        <v>0.19686508167769073</v>
      </c>
    </row>
    <row r="20" spans="1:11">
      <c r="E20" s="239"/>
      <c r="H20" s="239"/>
    </row>
    <row r="22" spans="1:11" ht="18">
      <c r="A22" s="335" t="s">
        <v>240</v>
      </c>
      <c r="B22" s="336"/>
      <c r="C22" s="336"/>
      <c r="D22" s="336"/>
      <c r="E22" s="336"/>
      <c r="F22" s="336"/>
      <c r="G22" s="336"/>
      <c r="H22" s="336"/>
      <c r="I22" s="336"/>
      <c r="J22" s="336"/>
      <c r="K22" s="337"/>
    </row>
    <row r="23" spans="1:11">
      <c r="A23" s="96"/>
      <c r="B23" s="125" t="s">
        <v>168</v>
      </c>
      <c r="C23" s="329" t="s">
        <v>107</v>
      </c>
      <c r="D23" s="330"/>
      <c r="E23" s="331"/>
      <c r="F23" s="329" t="s">
        <v>106</v>
      </c>
      <c r="G23" s="330"/>
      <c r="H23" s="331"/>
      <c r="I23" s="329" t="s">
        <v>109</v>
      </c>
      <c r="J23" s="330"/>
      <c r="K23" s="331"/>
    </row>
    <row r="24" spans="1:11">
      <c r="A24" s="97"/>
      <c r="B24" s="97"/>
      <c r="C24" s="98" t="s">
        <v>44</v>
      </c>
      <c r="D24" s="98" t="s">
        <v>45</v>
      </c>
      <c r="E24" s="252" t="s">
        <v>205</v>
      </c>
      <c r="F24" s="98" t="s">
        <v>91</v>
      </c>
      <c r="G24" s="98" t="s">
        <v>45</v>
      </c>
      <c r="H24" s="252" t="s">
        <v>205</v>
      </c>
      <c r="I24" s="98" t="s">
        <v>44</v>
      </c>
      <c r="J24" s="98" t="s">
        <v>45</v>
      </c>
      <c r="K24" s="99" t="s">
        <v>90</v>
      </c>
    </row>
    <row r="25" spans="1:11">
      <c r="A25" s="95" t="s">
        <v>236</v>
      </c>
      <c r="B25" s="116">
        <f>Data!B22</f>
        <v>50000000</v>
      </c>
      <c r="C25" s="101">
        <f>'Seychelles Loan #1'!G8</f>
        <v>56735757.973770887</v>
      </c>
      <c r="D25" s="101">
        <f>'Seychelles Loan #1'!G14</f>
        <v>53820324.695736334</v>
      </c>
      <c r="E25" s="277">
        <f>(D25-C25)/C25</f>
        <v>-5.1386169536720858E-2</v>
      </c>
      <c r="F25" s="101">
        <f>'Seychelles Loan #1'!G9</f>
        <v>25792547.31352381</v>
      </c>
      <c r="G25" s="101">
        <f>'Seychelles Loan #1'!G15</f>
        <v>7066191.3384532072</v>
      </c>
      <c r="H25" s="277">
        <f>(G25-F25)/F25</f>
        <v>-0.7260374769285316</v>
      </c>
      <c r="I25" s="123">
        <f>'Seychelles Loan #1'!$F$19</f>
        <v>0.25013911532862199</v>
      </c>
      <c r="J25" s="123">
        <f>'Seychelles Loan #1'!$G$19</f>
        <v>0.46284074355930099</v>
      </c>
      <c r="K25" s="272">
        <f>J25-I25</f>
        <v>0.21270162823067901</v>
      </c>
    </row>
    <row r="26" spans="1:11">
      <c r="A26" s="95" t="s">
        <v>237</v>
      </c>
      <c r="B26" s="116">
        <f>Data!B23</f>
        <v>87980000</v>
      </c>
      <c r="C26" s="101">
        <f>'Seychelles Loan #2'!G8</f>
        <v>104539829.30775844</v>
      </c>
      <c r="D26" s="101">
        <f>'Seychelles Loan #2'!G14</f>
        <v>99732244.466389611</v>
      </c>
      <c r="E26" s="277">
        <f t="shared" ref="E26:E28" si="4">(D26-C26)/C26</f>
        <v>-4.5988068597430057E-2</v>
      </c>
      <c r="F26" s="101">
        <f>'Seychelles Loan #2'!G9</f>
        <v>68908420.40450111</v>
      </c>
      <c r="G26" s="101">
        <f>'Seychelles Loan #2'!G15</f>
        <v>11130838.258980202</v>
      </c>
      <c r="H26" s="277">
        <f>(G26-F26)/F26</f>
        <v>-0.83846911315568151</v>
      </c>
      <c r="I26" s="123">
        <f>'Seychelles Loan #2'!$F$19</f>
        <v>5.0752594850245122E-2</v>
      </c>
      <c r="J26" s="123">
        <f>'Seychelles Loan #2'!$G$19</f>
        <v>0.47523928765316281</v>
      </c>
      <c r="K26" s="272">
        <f t="shared" ref="K26:K28" si="5">J26-I26</f>
        <v>0.42448669280291768</v>
      </c>
    </row>
    <row r="27" spans="1:11">
      <c r="A27" s="95" t="s">
        <v>238</v>
      </c>
      <c r="B27" s="116">
        <f>Data!B24</f>
        <v>8305000</v>
      </c>
      <c r="C27" s="117">
        <f>'Seychelles Loan #3'!G8</f>
        <v>10618989.5298924</v>
      </c>
      <c r="D27" s="102">
        <f>'Seychelles Loan #3'!G14</f>
        <v>8969911.4704964813</v>
      </c>
      <c r="E27" s="277">
        <f t="shared" si="4"/>
        <v>-0.15529519590859117</v>
      </c>
      <c r="F27" s="102">
        <f>'Seychelles Loan #3'!G9</f>
        <v>7486367.2329242919</v>
      </c>
      <c r="G27" s="102">
        <f>'Seychelles Loan #3'!G15</f>
        <v>3518078.1824360481</v>
      </c>
      <c r="H27" s="277">
        <f>(G27-F27)/F27</f>
        <v>-0.53006871383975218</v>
      </c>
      <c r="I27" s="124">
        <f>'Seychelles Loan #3'!$F$19</f>
        <v>5.6170107298837001E-2</v>
      </c>
      <c r="J27" s="124">
        <f>'Seychelles Loan #3'!$G$19</f>
        <v>0.37307007973094636</v>
      </c>
      <c r="K27" s="274">
        <f t="shared" si="5"/>
        <v>0.31689997243210938</v>
      </c>
    </row>
    <row r="28" spans="1:11" ht="18">
      <c r="A28" s="104" t="s">
        <v>54</v>
      </c>
      <c r="B28" s="106">
        <f t="shared" ref="B28:G28" si="6">SUM(B25:B27)</f>
        <v>146285000</v>
      </c>
      <c r="C28" s="102">
        <f t="shared" si="6"/>
        <v>171894576.81142169</v>
      </c>
      <c r="D28" s="102">
        <f t="shared" si="6"/>
        <v>162522480.63262242</v>
      </c>
      <c r="E28" s="278">
        <f t="shared" si="4"/>
        <v>-5.4522349411180109E-2</v>
      </c>
      <c r="F28" s="102">
        <f t="shared" si="6"/>
        <v>102187334.95094922</v>
      </c>
      <c r="G28" s="102">
        <f t="shared" si="6"/>
        <v>21715107.77986946</v>
      </c>
      <c r="H28" s="279">
        <f>(G28-F28)/F28</f>
        <v>-0.78749707299546567</v>
      </c>
      <c r="I28" s="124">
        <f>SUMPRODUCT(I25:I27,$B25:$B27)/$B28</f>
        <v>0.11921018424631716</v>
      </c>
      <c r="J28" s="124">
        <f>SUMPRODUCT(J25:J27,$B25:$B27)/$B28</f>
        <v>0.46520105764675684</v>
      </c>
      <c r="K28" s="274">
        <f t="shared" si="5"/>
        <v>0.34599087340043966</v>
      </c>
    </row>
    <row r="29" spans="1:11">
      <c r="E29" s="239"/>
      <c r="H29" s="239"/>
    </row>
    <row r="31" spans="1:11" ht="18">
      <c r="A31" s="335" t="s">
        <v>186</v>
      </c>
      <c r="B31" s="336"/>
      <c r="C31" s="336"/>
      <c r="D31" s="336"/>
      <c r="E31" s="336"/>
      <c r="F31" s="336"/>
      <c r="G31" s="336"/>
      <c r="H31" s="336"/>
      <c r="I31" s="336"/>
      <c r="J31" s="336"/>
      <c r="K31" s="337"/>
    </row>
    <row r="32" spans="1:11">
      <c r="A32" s="96"/>
      <c r="B32" s="338" t="s">
        <v>168</v>
      </c>
      <c r="C32" s="330" t="s">
        <v>107</v>
      </c>
      <c r="D32" s="330"/>
      <c r="E32" s="331"/>
      <c r="F32" s="329" t="s">
        <v>106</v>
      </c>
      <c r="G32" s="330"/>
      <c r="H32" s="331"/>
      <c r="I32" s="329" t="s">
        <v>109</v>
      </c>
      <c r="J32" s="330"/>
      <c r="K32" s="331"/>
    </row>
    <row r="33" spans="1:11">
      <c r="A33" s="97"/>
      <c r="B33" s="339"/>
      <c r="C33" s="169" t="s">
        <v>44</v>
      </c>
      <c r="D33" s="169" t="s">
        <v>45</v>
      </c>
      <c r="E33" s="252" t="s">
        <v>205</v>
      </c>
      <c r="F33" s="169" t="s">
        <v>91</v>
      </c>
      <c r="G33" s="169" t="s">
        <v>45</v>
      </c>
      <c r="H33" s="252" t="s">
        <v>205</v>
      </c>
      <c r="I33" s="169" t="s">
        <v>44</v>
      </c>
      <c r="J33" s="169" t="s">
        <v>45</v>
      </c>
      <c r="K33" s="170" t="s">
        <v>90</v>
      </c>
    </row>
    <row r="34" spans="1:11">
      <c r="A34" s="95" t="s">
        <v>224</v>
      </c>
      <c r="B34" s="67">
        <v>5000000</v>
      </c>
      <c r="C34" s="173">
        <f>'Seychelles Loan UAE'!G5</f>
        <v>7823567.6438516751</v>
      </c>
      <c r="D34" s="171">
        <f>'Seychelles Loan UAE'!G11</f>
        <v>8367933.0034933221</v>
      </c>
      <c r="E34" s="271">
        <f>(D34-C34)/C34</f>
        <v>6.9580194665978076E-2</v>
      </c>
      <c r="F34" s="171">
        <f>'Seychelles Loan UAE'!G6</f>
        <v>3581086.5799228121</v>
      </c>
      <c r="G34" s="171">
        <f>'Seychelles Loan UAE'!G12</f>
        <v>2540222.6120562959</v>
      </c>
      <c r="H34" s="278">
        <f t="shared" ref="H34:H45" si="7">(G34-F34)/F34</f>
        <v>-0.29065590698143673</v>
      </c>
      <c r="I34" s="178">
        <f>'Seychelles Loan UAE'!F16</f>
        <v>-4.6697808490726106E-2</v>
      </c>
      <c r="J34" s="178">
        <f>'Seychelles Loan UAE'!G16</f>
        <v>-6.4141711770328652E-2</v>
      </c>
      <c r="K34" s="276">
        <f>J34-I34</f>
        <v>-1.7443903279602546E-2</v>
      </c>
    </row>
    <row r="35" spans="1:11">
      <c r="A35" s="95" t="s">
        <v>225</v>
      </c>
      <c r="B35" s="67">
        <v>18365000</v>
      </c>
      <c r="C35" s="172">
        <f>'Seychelles Loan UAE'!G54</f>
        <v>29394256.72667858</v>
      </c>
      <c r="D35" s="101">
        <f>'Seychelles Loan UAE'!G60</f>
        <v>16187719.529718116</v>
      </c>
      <c r="E35" s="277">
        <f t="shared" ref="E35:E45" si="8">(D35-C35)/C35</f>
        <v>-0.44928971396558748</v>
      </c>
      <c r="F35" s="101">
        <f>'Seychelles Loan UAE'!G55</f>
        <v>13238235.129656486</v>
      </c>
      <c r="G35" s="101">
        <f>'Seychelles Loan UAE'!G61</f>
        <v>2954713.054595937</v>
      </c>
      <c r="H35" s="277">
        <f t="shared" si="7"/>
        <v>-0.7768046098549235</v>
      </c>
      <c r="I35" s="123">
        <f>'Seychelles Loan UAE'!F65</f>
        <v>-4.7451484001249829E-2</v>
      </c>
      <c r="J35" s="123">
        <f>'Seychelles Loan UAE'!G65</f>
        <v>0.63585258923840993</v>
      </c>
      <c r="K35" s="272">
        <f t="shared" ref="K35:K38" si="9">J35-I35</f>
        <v>0.6833040732396598</v>
      </c>
    </row>
    <row r="36" spans="1:11">
      <c r="A36" s="95" t="s">
        <v>226</v>
      </c>
      <c r="B36" s="67">
        <v>18365000</v>
      </c>
      <c r="C36" s="172">
        <f>'Seychelles Loan UAE'!G113</f>
        <v>26811203.373206463</v>
      </c>
      <c r="D36" s="101">
        <f>'Seychelles Loan UAE'!G119</f>
        <v>21442041.116235428</v>
      </c>
      <c r="E36" s="277">
        <f t="shared" si="8"/>
        <v>-0.20025816007709149</v>
      </c>
      <c r="F36" s="101">
        <f>'Seychelles Loan UAE'!G114</f>
        <v>11564396.053693753</v>
      </c>
      <c r="G36" s="101">
        <f>'Seychelles Loan UAE'!G120</f>
        <v>4435022.9315406848</v>
      </c>
      <c r="H36" s="277">
        <f t="shared" si="7"/>
        <v>-0.61649333774554482</v>
      </c>
      <c r="I36" s="123">
        <f>'Seychelles Loan UAE'!F124</f>
        <v>-4.9249221232713074E-2</v>
      </c>
      <c r="J36" s="123">
        <f>'Seychelles Loan UAE'!G124</f>
        <v>0.46831792669418348</v>
      </c>
      <c r="K36" s="272">
        <f t="shared" si="9"/>
        <v>0.51756714792689651</v>
      </c>
    </row>
    <row r="37" spans="1:11">
      <c r="A37" s="95" t="s">
        <v>227</v>
      </c>
      <c r="B37" s="67">
        <v>21423258</v>
      </c>
      <c r="C37" s="172">
        <f>'Seychelles Loan FRA'!G5</f>
        <v>27792274.917170271</v>
      </c>
      <c r="D37" s="101">
        <f>'Seychelles Loan FRA'!G11</f>
        <v>22343893.783053447</v>
      </c>
      <c r="E37" s="277">
        <f t="shared" si="8"/>
        <v>-0.19603940844550205</v>
      </c>
      <c r="F37" s="101">
        <f>'Seychelles Loan FRA'!G6</f>
        <v>18527957.986537255</v>
      </c>
      <c r="G37" s="101">
        <f>'Seychelles Loan FRA'!G12</f>
        <v>12367757.558850776</v>
      </c>
      <c r="H37" s="277">
        <f t="shared" si="7"/>
        <v>-0.33248134695483389</v>
      </c>
      <c r="I37" s="123">
        <f>'Seychelles Loan FRA'!F16</f>
        <v>0.16190219655339114</v>
      </c>
      <c r="J37" s="123">
        <f>'Seychelles Loan FRA'!G16</f>
        <v>0.53766484009253868</v>
      </c>
      <c r="K37" s="272">
        <f t="shared" si="9"/>
        <v>0.37576264353914757</v>
      </c>
    </row>
    <row r="38" spans="1:11">
      <c r="A38" s="95" t="s">
        <v>228</v>
      </c>
      <c r="B38" s="67">
        <v>3213669</v>
      </c>
      <c r="C38" s="172">
        <f>'Seychelles Loan FRA'!G63</f>
        <v>4169036.2191196051</v>
      </c>
      <c r="D38" s="101">
        <f>'Seychelles Loan FRA'!G69</f>
        <v>3351740.3512623762</v>
      </c>
      <c r="E38" s="277">
        <f t="shared" si="8"/>
        <v>-0.19603952206244471</v>
      </c>
      <c r="F38" s="101">
        <f>'Seychelles Loan FRA'!G64</f>
        <v>2779323.6840960602</v>
      </c>
      <c r="G38" s="101">
        <f>'Seychelles Loan FRA'!G70</f>
        <v>1855250.1454400218</v>
      </c>
      <c r="H38" s="277">
        <f t="shared" si="7"/>
        <v>-0.33248143925941526</v>
      </c>
      <c r="I38" s="123">
        <f>'Seychelles Loan FRA'!F74</f>
        <v>0.16190219655339114</v>
      </c>
      <c r="J38" s="123">
        <f>'Seychelles Loan FRA'!G74</f>
        <v>0.53767426870050017</v>
      </c>
      <c r="K38" s="272">
        <f t="shared" si="9"/>
        <v>0.37577207214710906</v>
      </c>
    </row>
    <row r="39" spans="1:11">
      <c r="A39" s="95" t="s">
        <v>229</v>
      </c>
      <c r="B39" s="67">
        <v>3422477</v>
      </c>
      <c r="C39" s="172">
        <f>'Seychelles Loan DEU'!G5</f>
        <v>3773756.3989013201</v>
      </c>
      <c r="D39" s="101">
        <f>'Seychelles Loan DEU'!G11</f>
        <v>6374293.0824894784</v>
      </c>
      <c r="E39" s="269">
        <f t="shared" si="8"/>
        <v>0.68911090401735275</v>
      </c>
      <c r="F39" s="101">
        <f>'Seychelles Loan DEU'!G6</f>
        <v>2911108.4597455477</v>
      </c>
      <c r="G39" s="101">
        <f>'Seychelles Loan DEU'!G12</f>
        <v>1207162.8032811002</v>
      </c>
      <c r="H39" s="277">
        <f t="shared" si="7"/>
        <v>-0.58532537692305175</v>
      </c>
      <c r="I39" s="123">
        <f>'Seychelles Loan DEU'!F16</f>
        <v>0.13914847792394108</v>
      </c>
      <c r="J39" s="123">
        <f>'Seychelles Loan DEU'!G16</f>
        <v>0.47369815781348606</v>
      </c>
      <c r="K39" s="272">
        <f t="shared" ref="K39:K45" si="10">J39-I39</f>
        <v>0.33454967988954498</v>
      </c>
    </row>
    <row r="40" spans="1:11">
      <c r="A40" s="95" t="s">
        <v>230</v>
      </c>
      <c r="B40" s="67">
        <v>1076543236</v>
      </c>
      <c r="C40" s="172">
        <f>'Seychelles Loan JPN'!G5</f>
        <v>2557689174.7107167</v>
      </c>
      <c r="D40" s="101">
        <f>'Seychelles Loan JPN'!G11</f>
        <v>605243954.5042448</v>
      </c>
      <c r="E40" s="277">
        <f t="shared" si="8"/>
        <v>-0.76336297604547665</v>
      </c>
      <c r="F40" s="101">
        <f>'Seychelles Loan JPN'!G6</f>
        <v>1151037344.4402239</v>
      </c>
      <c r="G40" s="101">
        <f>'Seychelles Loan JPN'!G12</f>
        <v>86220275.052058309</v>
      </c>
      <c r="H40" s="277">
        <f t="shared" si="7"/>
        <v>-0.92509341641387899</v>
      </c>
      <c r="I40" s="123">
        <f>'Seychelles Loan JPN'!F16</f>
        <v>-0.26858306677939708</v>
      </c>
      <c r="J40" s="123">
        <f>'Seychelles Loan JPN'!G16</f>
        <v>1.1529068929794579</v>
      </c>
      <c r="K40" s="272">
        <f t="shared" si="10"/>
        <v>1.4214899597588551</v>
      </c>
    </row>
    <row r="41" spans="1:11">
      <c r="A41" s="95" t="s">
        <v>231</v>
      </c>
      <c r="B41" s="67">
        <v>2289598</v>
      </c>
      <c r="C41" s="172">
        <f>'Seychelles Loan KWT'!G5</f>
        <v>2289598.21</v>
      </c>
      <c r="D41" s="101">
        <f>'Seychelles Loan KWT'!G11</f>
        <v>2389446</v>
      </c>
      <c r="E41" s="269">
        <f t="shared" si="8"/>
        <v>4.3609306455563678E-2</v>
      </c>
      <c r="F41" s="101">
        <f>'Seychelles Loan KWT'!G6</f>
        <v>1898190.8627610826</v>
      </c>
      <c r="G41" s="101">
        <f>'Seychelles Loan KWT'!G12</f>
        <v>1415996.6629496894</v>
      </c>
      <c r="H41" s="277">
        <f t="shared" si="7"/>
        <v>-0.25402830098444368</v>
      </c>
      <c r="I41" s="123">
        <f>'Seychelles Loan KWT'!F16</f>
        <v>0.17566454747992089</v>
      </c>
      <c r="J41" s="123">
        <f>'Seychelles Loan KWT'!G16</f>
        <v>0.3730681970020257</v>
      </c>
      <c r="K41" s="272">
        <f t="shared" si="10"/>
        <v>0.19740364952210482</v>
      </c>
    </row>
    <row r="42" spans="1:11">
      <c r="A42" s="95" t="s">
        <v>232</v>
      </c>
      <c r="B42" s="67">
        <v>164808</v>
      </c>
      <c r="C42" s="172">
        <f>'Seychelles Loan GBR'!G5</f>
        <v>383987.78172028367</v>
      </c>
      <c r="D42" s="101">
        <f>'Seychelles Loan GBR'!G11</f>
        <v>152471.657185594</v>
      </c>
      <c r="E42" s="277">
        <f t="shared" si="8"/>
        <v>-0.60292575846420515</v>
      </c>
      <c r="F42" s="101">
        <f>'Seychelles Loan GBR'!G6</f>
        <v>76872.668196523577</v>
      </c>
      <c r="G42" s="101">
        <f>'Seychelles Loan GBR'!G12</f>
        <v>3923.5980041953826</v>
      </c>
      <c r="H42" s="277">
        <f t="shared" si="7"/>
        <v>-0.94895977860213232</v>
      </c>
      <c r="I42" s="123">
        <f>'Seychelles Loan GBR'!F16</f>
        <v>-0.39679654452595364</v>
      </c>
      <c r="J42" s="123">
        <f>'Seychelles Loan GBR'!G16</f>
        <v>0.6242699434308282</v>
      </c>
      <c r="K42" s="272">
        <f t="shared" si="10"/>
        <v>1.0210664879567819</v>
      </c>
    </row>
    <row r="43" spans="1:11">
      <c r="A43" s="95" t="s">
        <v>233</v>
      </c>
      <c r="B43" s="67">
        <v>2806716</v>
      </c>
      <c r="C43" s="172">
        <f>'Seychelles Loan GBR'!G55</f>
        <v>5770106.3451796882</v>
      </c>
      <c r="D43" s="101">
        <f>'Seychelles Loan GBR'!G61</f>
        <v>2614820.420089378</v>
      </c>
      <c r="E43" s="277">
        <f t="shared" si="8"/>
        <v>-0.5468332360505308</v>
      </c>
      <c r="F43" s="101">
        <f>'Seychelles Loan GBR'!G56</f>
        <v>1839308.9354256969</v>
      </c>
      <c r="G43" s="101">
        <f>'Seychelles Loan GBR'!G62</f>
        <v>97136.390430090702</v>
      </c>
      <c r="H43" s="277">
        <f t="shared" si="7"/>
        <v>-0.94718864864992947</v>
      </c>
      <c r="I43" s="123">
        <f>'Seychelles Loan GBR'!F66</f>
        <v>-0.30715334816816492</v>
      </c>
      <c r="J43" s="123">
        <f>'Seychelles Loan GBR'!G66</f>
        <v>0.60964205937876104</v>
      </c>
      <c r="K43" s="272">
        <f t="shared" si="10"/>
        <v>0.91679540754692601</v>
      </c>
    </row>
    <row r="44" spans="1:11">
      <c r="A44" s="95" t="s">
        <v>234</v>
      </c>
      <c r="B44" s="67">
        <v>6085687</v>
      </c>
      <c r="C44" s="172">
        <f>'Seychelles Loan GBR'!G106</f>
        <v>16178564.206099512</v>
      </c>
      <c r="D44" s="101">
        <f>'Seychelles Loan GBR'!G112</f>
        <v>5092126.9527344266</v>
      </c>
      <c r="E44" s="277">
        <f t="shared" si="8"/>
        <v>-0.68525470567934366</v>
      </c>
      <c r="F44" s="101">
        <f>'Seychelles Loan GBR'!G107</f>
        <v>3175529.7184130959</v>
      </c>
      <c r="G44" s="101">
        <f>'Seychelles Loan GBR'!G113</f>
        <v>26697.311883916456</v>
      </c>
      <c r="H44" s="277">
        <f t="shared" si="7"/>
        <v>-0.9915928004927449</v>
      </c>
      <c r="I44" s="123">
        <f>'Seychelles Loan GBR'!F117</f>
        <v>-0.10864334466889378</v>
      </c>
      <c r="J44" s="123">
        <f>'Seychelles Loan GBR'!G117</f>
        <v>0.71274139225887323</v>
      </c>
      <c r="K44" s="272">
        <f t="shared" si="10"/>
        <v>0.82138473692776703</v>
      </c>
    </row>
    <row r="45" spans="1:11">
      <c r="A45" s="95" t="s">
        <v>235</v>
      </c>
      <c r="B45" s="67">
        <v>2146031</v>
      </c>
      <c r="C45" s="117">
        <f>'Seychelles Loan GBR'!G156</f>
        <v>5283987.6879688194</v>
      </c>
      <c r="D45" s="102">
        <f>'Seychelles Loan GBR'!G162</f>
        <v>2006856.4273876348</v>
      </c>
      <c r="E45" s="280">
        <f t="shared" si="8"/>
        <v>-0.62020039676529293</v>
      </c>
      <c r="F45" s="102">
        <f>'Seychelles Loan GBR'!G162</f>
        <v>2006856.4273876348</v>
      </c>
      <c r="G45" s="102">
        <f>'Seychelles Loan GBR'!G163</f>
        <v>17166.334125279594</v>
      </c>
      <c r="H45" s="277">
        <f t="shared" si="7"/>
        <v>-0.99144615733790908</v>
      </c>
      <c r="I45" s="124">
        <f>'Seychelles Loan GBR'!F167</f>
        <v>-0.11922744744472927</v>
      </c>
      <c r="J45" s="124">
        <f>'Seychelles Loan GBR'!G167</f>
        <v>0.6412589828341686</v>
      </c>
      <c r="K45" s="274">
        <f t="shared" si="10"/>
        <v>0.76048643027889784</v>
      </c>
    </row>
    <row r="46" spans="1:11" ht="18">
      <c r="A46" s="104" t="s">
        <v>245</v>
      </c>
      <c r="B46" s="166"/>
      <c r="C46" s="176"/>
      <c r="D46" s="176"/>
      <c r="E46" s="279"/>
      <c r="F46" s="102"/>
      <c r="G46" s="102"/>
      <c r="H46" s="279"/>
      <c r="I46" s="124"/>
      <c r="J46" s="124"/>
      <c r="K46" s="274"/>
    </row>
  </sheetData>
  <mergeCells count="17">
    <mergeCell ref="A2:K2"/>
    <mergeCell ref="C32:E32"/>
    <mergeCell ref="F32:H32"/>
    <mergeCell ref="I32:K32"/>
    <mergeCell ref="B32:B33"/>
    <mergeCell ref="A31:K31"/>
    <mergeCell ref="F23:H23"/>
    <mergeCell ref="C23:E23"/>
    <mergeCell ref="I23:K23"/>
    <mergeCell ref="I3:K3"/>
    <mergeCell ref="I17:K17"/>
    <mergeCell ref="A16:J16"/>
    <mergeCell ref="A22:K22"/>
    <mergeCell ref="C17:E17"/>
    <mergeCell ref="F17:H17"/>
    <mergeCell ref="F3:H3"/>
    <mergeCell ref="C3:E3"/>
  </mergeCells>
  <phoneticPr fontId="17" type="noConversion"/>
  <pageMargins left="0.7" right="0.7" top="0.75" bottom="0.75" header="0.3" footer="0.3"/>
  <pageSetup orientation="portrait" horizontalDpi="0" verticalDpi="0"/>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D63B-9A7F-6241-B7CF-E84C21652CAF}">
  <sheetPr>
    <tabColor rgb="FF00B0F0"/>
  </sheetPr>
  <dimension ref="A1:DD47"/>
  <sheetViews>
    <sheetView workbookViewId="0">
      <selection activeCell="A20" sqref="A20"/>
    </sheetView>
  </sheetViews>
  <sheetFormatPr defaultColWidth="11.19921875" defaultRowHeight="15.6"/>
  <cols>
    <col min="2" max="2" width="10.796875" customWidth="1"/>
    <col min="3" max="3" width="25.5" customWidth="1"/>
    <col min="4" max="4" width="15.796875" customWidth="1"/>
    <col min="5" max="5" width="22.19921875" customWidth="1"/>
    <col min="6" max="6" width="17.796875" customWidth="1"/>
    <col min="7" max="7" width="20" customWidth="1"/>
    <col min="8" max="107" width="15.796875" customWidth="1"/>
    <col min="108" max="108" width="15.796875" style="141" customWidth="1"/>
  </cols>
  <sheetData>
    <row r="1" spans="1:12" s="157" customFormat="1" ht="21">
      <c r="A1" s="158" t="s">
        <v>158</v>
      </c>
    </row>
    <row r="3" spans="1:12" ht="21">
      <c r="A3" s="347" t="s">
        <v>1</v>
      </c>
      <c r="B3" s="348"/>
      <c r="C3" s="348"/>
      <c r="D3" s="349"/>
      <c r="F3" s="321" t="s">
        <v>2</v>
      </c>
      <c r="G3" s="322"/>
    </row>
    <row r="4" spans="1:12">
      <c r="A4" s="55" t="s">
        <v>3</v>
      </c>
      <c r="B4" s="22"/>
      <c r="C4" s="22"/>
      <c r="D4" s="131">
        <f>Data!D32</f>
        <v>2007</v>
      </c>
      <c r="F4" s="6" t="s">
        <v>4</v>
      </c>
      <c r="G4" s="7">
        <f>D10</f>
        <v>3422477</v>
      </c>
    </row>
    <row r="5" spans="1:12">
      <c r="A5" s="4" t="s">
        <v>5</v>
      </c>
      <c r="B5" s="126"/>
      <c r="C5" s="126"/>
      <c r="D5" s="8">
        <f>Data!F32</f>
        <v>0.02</v>
      </c>
      <c r="F5" s="6" t="s">
        <v>6</v>
      </c>
      <c r="G5" s="9">
        <f>D30*-1</f>
        <v>3773756.3989013201</v>
      </c>
    </row>
    <row r="6" spans="1:12">
      <c r="A6" s="4" t="s">
        <v>7</v>
      </c>
      <c r="B6" s="126"/>
      <c r="C6" s="126"/>
      <c r="D6" s="10">
        <f>Data!G32</f>
        <v>3</v>
      </c>
      <c r="F6" s="11" t="s">
        <v>8</v>
      </c>
      <c r="G6" s="12">
        <f>D34*-1</f>
        <v>2911108.4597455477</v>
      </c>
      <c r="I6" s="258"/>
      <c r="J6" s="258"/>
      <c r="K6" s="258"/>
      <c r="L6" s="258"/>
    </row>
    <row r="7" spans="1:12">
      <c r="A7" s="4" t="s">
        <v>9</v>
      </c>
      <c r="B7" s="126"/>
      <c r="C7" s="126"/>
      <c r="D7" s="10">
        <f>Data!E32</f>
        <v>7.5</v>
      </c>
      <c r="I7" s="258"/>
      <c r="J7" s="258"/>
      <c r="K7" s="258"/>
      <c r="L7" s="258"/>
    </row>
    <row r="8" spans="1:12">
      <c r="A8" s="4" t="s">
        <v>10</v>
      </c>
      <c r="B8" s="126"/>
      <c r="C8" s="126"/>
      <c r="D8" s="10">
        <v>2</v>
      </c>
      <c r="F8" s="321" t="s">
        <v>11</v>
      </c>
      <c r="G8" s="322"/>
      <c r="I8" s="288"/>
      <c r="J8" s="258"/>
      <c r="K8" s="258"/>
      <c r="L8" s="258"/>
    </row>
    <row r="9" spans="1:12">
      <c r="A9" s="4" t="s">
        <v>12</v>
      </c>
      <c r="B9" s="126"/>
      <c r="C9" s="126"/>
      <c r="D9" s="10">
        <f>(D7-D6)*2</f>
        <v>9</v>
      </c>
      <c r="F9" s="6" t="s">
        <v>4</v>
      </c>
      <c r="G9" s="7">
        <f>D10</f>
        <v>3422477</v>
      </c>
      <c r="I9" s="289"/>
      <c r="J9" s="258"/>
      <c r="K9" s="258"/>
      <c r="L9" s="258"/>
    </row>
    <row r="10" spans="1:12">
      <c r="A10" s="4" t="s">
        <v>156</v>
      </c>
      <c r="B10" s="126"/>
      <c r="C10" s="126"/>
      <c r="D10" s="147">
        <f>Data!B32</f>
        <v>3422477</v>
      </c>
      <c r="F10" s="6" t="s">
        <v>31</v>
      </c>
      <c r="G10" s="9">
        <f>D20</f>
        <v>3467762</v>
      </c>
      <c r="I10" s="290"/>
      <c r="J10" s="290"/>
      <c r="K10" s="290"/>
      <c r="L10" s="258"/>
    </row>
    <row r="11" spans="1:12">
      <c r="A11" s="13" t="s">
        <v>15</v>
      </c>
      <c r="B11" s="14"/>
      <c r="C11" s="14"/>
      <c r="D11" s="195">
        <v>4.8099999999999997E-2</v>
      </c>
      <c r="F11" s="6" t="s">
        <v>6</v>
      </c>
      <c r="G11" s="9">
        <f>D41*-1</f>
        <v>6374293.0824894784</v>
      </c>
      <c r="I11" s="291"/>
      <c r="J11" s="291"/>
      <c r="K11" s="291"/>
      <c r="L11" s="258"/>
    </row>
    <row r="12" spans="1:12">
      <c r="F12" s="11" t="s">
        <v>8</v>
      </c>
      <c r="G12" s="12">
        <f>D45*-1</f>
        <v>1207162.8032811002</v>
      </c>
      <c r="I12" s="291"/>
      <c r="J12" s="291"/>
      <c r="K12" s="291"/>
      <c r="L12" s="258"/>
    </row>
    <row r="13" spans="1:12" ht="20.399999999999999">
      <c r="A13" s="354" t="s">
        <v>16</v>
      </c>
      <c r="B13" s="355"/>
      <c r="C13" s="355"/>
      <c r="D13" s="356"/>
      <c r="F13" s="16"/>
      <c r="I13" s="291"/>
      <c r="J13" s="291"/>
      <c r="K13" s="291"/>
      <c r="L13" s="258"/>
    </row>
    <row r="14" spans="1:12">
      <c r="A14" s="132" t="s">
        <v>17</v>
      </c>
      <c r="B14" s="133"/>
      <c r="C14" s="133"/>
      <c r="D14" s="134">
        <f>Data!H32</f>
        <v>2011</v>
      </c>
      <c r="F14" s="323" t="s">
        <v>109</v>
      </c>
      <c r="G14" s="324"/>
      <c r="I14" s="291"/>
      <c r="J14" s="291"/>
      <c r="K14" s="291"/>
      <c r="L14" s="258"/>
    </row>
    <row r="15" spans="1:12">
      <c r="A15" s="135" t="s">
        <v>5</v>
      </c>
      <c r="B15" s="136"/>
      <c r="C15" s="136"/>
      <c r="D15" s="145">
        <f>Data!N32</f>
        <v>0.02</v>
      </c>
      <c r="F15" s="121" t="s">
        <v>44</v>
      </c>
      <c r="G15" s="118" t="s">
        <v>45</v>
      </c>
      <c r="I15" s="291"/>
      <c r="J15" s="291"/>
      <c r="K15" s="291"/>
      <c r="L15" s="258"/>
    </row>
    <row r="16" spans="1:12">
      <c r="A16" s="135" t="s">
        <v>7</v>
      </c>
      <c r="B16" s="136"/>
      <c r="C16" s="136"/>
      <c r="D16" s="137">
        <f>Data!O32</f>
        <v>20</v>
      </c>
      <c r="F16" s="119">
        <f>(1-((D5/D8)/D21))*(1-(((1/((1+D21)^(D8*D6)))-(1/((1+D21)^(D8*D7))))/(D21*(D8*D7-D8*D6))))</f>
        <v>0.13914847792394108</v>
      </c>
      <c r="G16" s="122">
        <f>(1-((D15/D18)/D21))*(1-(((1/((1+D21)^(D18*D16)))-(1/((1+D21)^(D18*D17))))/(D21*(D18*D17-D18*D16))))+((D10-D20)/D10)</f>
        <v>0.47369815781348606</v>
      </c>
      <c r="I16" s="291"/>
      <c r="J16" s="292"/>
      <c r="K16" s="292"/>
      <c r="L16" s="258"/>
    </row>
    <row r="17" spans="1:108">
      <c r="A17" s="135" t="s">
        <v>9</v>
      </c>
      <c r="B17" s="136"/>
      <c r="C17" s="136"/>
      <c r="D17" s="137">
        <f>Data!M32</f>
        <v>54</v>
      </c>
      <c r="I17" s="258"/>
      <c r="J17" s="258"/>
      <c r="K17" s="258"/>
      <c r="L17" s="258"/>
    </row>
    <row r="18" spans="1:108">
      <c r="A18" s="135" t="s">
        <v>10</v>
      </c>
      <c r="B18" s="136"/>
      <c r="C18" s="136"/>
      <c r="D18" s="137">
        <v>2</v>
      </c>
      <c r="I18" s="258"/>
      <c r="J18" s="258"/>
      <c r="K18" s="258"/>
      <c r="L18" s="258"/>
    </row>
    <row r="19" spans="1:108">
      <c r="A19" s="135" t="s">
        <v>12</v>
      </c>
      <c r="B19" s="136"/>
      <c r="C19" s="136"/>
      <c r="D19" s="137">
        <f>(D17-D16)*D18</f>
        <v>68</v>
      </c>
    </row>
    <row r="20" spans="1:108">
      <c r="A20" s="135" t="s">
        <v>263</v>
      </c>
      <c r="B20" s="136"/>
      <c r="C20" s="136"/>
      <c r="D20" s="130">
        <f>Data!L32</f>
        <v>3467762</v>
      </c>
    </row>
    <row r="21" spans="1:108">
      <c r="A21" s="196" t="s">
        <v>187</v>
      </c>
      <c r="B21" s="14"/>
      <c r="C21" s="14"/>
      <c r="D21" s="195">
        <f>(1.05^0.5)-1</f>
        <v>2.4695076595959931E-2</v>
      </c>
    </row>
    <row r="23" spans="1:108" ht="46.8">
      <c r="A23" s="302" t="s">
        <v>43</v>
      </c>
      <c r="E23" s="53" t="s">
        <v>25</v>
      </c>
      <c r="F23" s="21" t="s">
        <v>17</v>
      </c>
      <c r="N23" s="21" t="s">
        <v>21</v>
      </c>
      <c r="O23" s="51"/>
      <c r="AN23" s="21" t="s">
        <v>40</v>
      </c>
      <c r="AQ23" s="21" t="s">
        <v>149</v>
      </c>
      <c r="DC23" s="21" t="s">
        <v>209</v>
      </c>
    </row>
    <row r="24" spans="1:108">
      <c r="A24" s="2" t="s">
        <v>23</v>
      </c>
      <c r="E24" s="139" t="s">
        <v>208</v>
      </c>
      <c r="F24" s="24">
        <v>40724</v>
      </c>
      <c r="G24" s="24">
        <v>40907</v>
      </c>
      <c r="H24" s="24">
        <v>41090</v>
      </c>
      <c r="I24" s="24">
        <v>41273</v>
      </c>
      <c r="J24" s="24">
        <v>41455</v>
      </c>
      <c r="K24" s="24">
        <v>41638</v>
      </c>
      <c r="L24" s="24">
        <v>41820</v>
      </c>
      <c r="M24" s="24">
        <v>42003</v>
      </c>
      <c r="N24" s="24">
        <v>42185</v>
      </c>
      <c r="O24" s="24">
        <v>42368</v>
      </c>
      <c r="P24" s="24">
        <v>42551</v>
      </c>
      <c r="Q24" s="24">
        <v>42734</v>
      </c>
      <c r="R24" s="24">
        <v>42916</v>
      </c>
      <c r="S24" s="24">
        <v>43099</v>
      </c>
      <c r="T24" s="24">
        <v>43281</v>
      </c>
      <c r="U24" s="24">
        <v>43464</v>
      </c>
      <c r="V24" s="24">
        <v>43646</v>
      </c>
      <c r="W24" s="24">
        <v>43829</v>
      </c>
      <c r="X24" s="24">
        <v>44012</v>
      </c>
      <c r="Y24" s="24">
        <v>44195</v>
      </c>
      <c r="Z24" s="24">
        <v>44377</v>
      </c>
      <c r="AA24" s="24">
        <v>44560</v>
      </c>
      <c r="AB24" s="24">
        <v>44742</v>
      </c>
      <c r="AC24" s="24">
        <v>44925</v>
      </c>
      <c r="AD24" s="24">
        <v>45107</v>
      </c>
      <c r="AE24" s="24">
        <v>45290</v>
      </c>
      <c r="AF24" s="24">
        <v>45473</v>
      </c>
      <c r="AG24" s="24">
        <v>45656</v>
      </c>
      <c r="AH24" s="24">
        <v>45838</v>
      </c>
      <c r="AI24" s="24">
        <v>46021</v>
      </c>
      <c r="AJ24" s="24">
        <v>46203</v>
      </c>
      <c r="AK24" s="24">
        <v>46386</v>
      </c>
      <c r="AL24" s="24">
        <v>46568</v>
      </c>
      <c r="AM24" s="24">
        <v>46751</v>
      </c>
      <c r="AN24" s="24">
        <v>46934</v>
      </c>
      <c r="AO24" s="24">
        <v>47117</v>
      </c>
      <c r="AP24" s="24">
        <v>47299</v>
      </c>
      <c r="AQ24" s="24">
        <v>47482</v>
      </c>
      <c r="AR24" s="24">
        <v>47664</v>
      </c>
      <c r="AS24" s="24">
        <v>47847</v>
      </c>
      <c r="AT24" s="24">
        <v>48029</v>
      </c>
      <c r="AU24" s="24">
        <v>48212</v>
      </c>
      <c r="AV24" s="24">
        <v>48395</v>
      </c>
      <c r="AW24" s="24">
        <v>48578</v>
      </c>
      <c r="AX24" s="24">
        <v>48760</v>
      </c>
      <c r="AY24" s="24">
        <v>48943</v>
      </c>
      <c r="AZ24" s="24">
        <v>49125</v>
      </c>
      <c r="BA24" s="24">
        <v>49308</v>
      </c>
      <c r="BB24" s="24">
        <v>49490</v>
      </c>
      <c r="BC24" s="24">
        <v>49673</v>
      </c>
      <c r="BD24" s="24">
        <v>49856</v>
      </c>
      <c r="BE24" s="24">
        <v>50039</v>
      </c>
      <c r="BF24" s="24">
        <v>50221</v>
      </c>
      <c r="BG24" s="24">
        <v>50404</v>
      </c>
      <c r="BH24" s="24">
        <v>50586</v>
      </c>
      <c r="BI24" s="24">
        <v>50769</v>
      </c>
      <c r="BJ24" s="24">
        <v>50951</v>
      </c>
      <c r="BK24" s="24">
        <v>51134</v>
      </c>
      <c r="BL24" s="24">
        <v>51317</v>
      </c>
      <c r="BM24" s="24">
        <v>51500</v>
      </c>
      <c r="BN24" s="24">
        <v>51682</v>
      </c>
      <c r="BO24" s="24">
        <v>51865</v>
      </c>
      <c r="BP24" s="24">
        <v>52047</v>
      </c>
      <c r="BQ24" s="24">
        <v>52230</v>
      </c>
      <c r="BR24" s="24">
        <v>52412</v>
      </c>
      <c r="BS24" s="24">
        <v>52595</v>
      </c>
      <c r="BT24" s="24">
        <v>52778</v>
      </c>
      <c r="BU24" s="24">
        <v>52961</v>
      </c>
      <c r="BV24" s="24">
        <v>53143</v>
      </c>
      <c r="BW24" s="24">
        <v>53326</v>
      </c>
      <c r="BX24" s="24">
        <v>53508</v>
      </c>
      <c r="BY24" s="24">
        <v>53691</v>
      </c>
      <c r="BZ24" s="24">
        <v>53873</v>
      </c>
      <c r="CA24" s="24">
        <v>54056</v>
      </c>
      <c r="CB24" s="24">
        <v>54239</v>
      </c>
      <c r="CC24" s="24">
        <v>54422</v>
      </c>
      <c r="CD24" s="24">
        <v>54604</v>
      </c>
      <c r="CE24" s="24">
        <v>54787</v>
      </c>
      <c r="CF24" s="24">
        <v>54969</v>
      </c>
      <c r="CG24" s="24">
        <v>55152</v>
      </c>
      <c r="CH24" s="24">
        <v>55334</v>
      </c>
      <c r="CI24" s="24">
        <v>55517</v>
      </c>
      <c r="CJ24" s="24">
        <v>55700</v>
      </c>
      <c r="CK24" s="24">
        <v>55883</v>
      </c>
      <c r="CL24" s="24">
        <v>56065</v>
      </c>
      <c r="CM24" s="24">
        <v>56248</v>
      </c>
      <c r="CN24" s="24">
        <v>56430</v>
      </c>
      <c r="CO24" s="24">
        <v>56613</v>
      </c>
      <c r="CP24" s="24">
        <v>56795</v>
      </c>
      <c r="CQ24" s="24">
        <v>56978</v>
      </c>
      <c r="CR24" s="24">
        <v>57161</v>
      </c>
      <c r="CS24" s="24">
        <v>57344</v>
      </c>
      <c r="CT24" s="24">
        <v>57526</v>
      </c>
      <c r="CU24" s="24">
        <v>57709</v>
      </c>
      <c r="CV24" s="24">
        <v>57891</v>
      </c>
      <c r="CW24" s="24">
        <v>58074</v>
      </c>
      <c r="CX24" s="24">
        <v>58256</v>
      </c>
      <c r="CY24" s="24">
        <v>58439</v>
      </c>
      <c r="CZ24" s="24">
        <v>58622</v>
      </c>
      <c r="DA24" s="24">
        <v>58805</v>
      </c>
      <c r="DB24" s="24">
        <v>58987</v>
      </c>
      <c r="DC24" s="24">
        <v>59170</v>
      </c>
      <c r="DD24" s="149"/>
    </row>
    <row r="25" spans="1:108">
      <c r="A25" s="2" t="s">
        <v>38</v>
      </c>
      <c r="F25">
        <v>7</v>
      </c>
      <c r="G25">
        <v>8</v>
      </c>
      <c r="H25">
        <v>9</v>
      </c>
      <c r="I25">
        <v>10</v>
      </c>
      <c r="J25">
        <v>11</v>
      </c>
      <c r="K25">
        <v>12</v>
      </c>
      <c r="L25">
        <v>13</v>
      </c>
      <c r="M25">
        <v>14</v>
      </c>
      <c r="N25">
        <v>15</v>
      </c>
      <c r="O25">
        <v>16</v>
      </c>
      <c r="P25">
        <v>17</v>
      </c>
      <c r="Q25">
        <v>18</v>
      </c>
      <c r="R25">
        <v>19</v>
      </c>
      <c r="S25">
        <v>20</v>
      </c>
      <c r="T25">
        <v>21</v>
      </c>
      <c r="U25">
        <v>22</v>
      </c>
      <c r="V25">
        <v>23</v>
      </c>
      <c r="W25">
        <v>24</v>
      </c>
      <c r="X25">
        <v>25</v>
      </c>
      <c r="Y25">
        <v>26</v>
      </c>
      <c r="Z25">
        <v>27</v>
      </c>
      <c r="AA25">
        <v>28</v>
      </c>
      <c r="AB25">
        <v>29</v>
      </c>
      <c r="AC25">
        <v>30</v>
      </c>
      <c r="AD25">
        <v>31</v>
      </c>
      <c r="AE25">
        <v>32</v>
      </c>
      <c r="AF25">
        <v>33</v>
      </c>
      <c r="AG25">
        <v>34</v>
      </c>
      <c r="AH25">
        <v>35</v>
      </c>
      <c r="AI25">
        <v>36</v>
      </c>
      <c r="AJ25">
        <v>37</v>
      </c>
      <c r="AK25">
        <v>38</v>
      </c>
      <c r="AL25">
        <v>39</v>
      </c>
      <c r="AM25">
        <v>40</v>
      </c>
      <c r="AN25">
        <v>41</v>
      </c>
      <c r="AO25">
        <v>42</v>
      </c>
      <c r="AP25">
        <v>43</v>
      </c>
      <c r="AQ25">
        <v>44</v>
      </c>
      <c r="AR25">
        <v>45</v>
      </c>
      <c r="AS25">
        <v>46</v>
      </c>
      <c r="AT25">
        <v>47</v>
      </c>
      <c r="AU25">
        <v>48</v>
      </c>
      <c r="AV25">
        <v>49</v>
      </c>
      <c r="AW25">
        <v>50</v>
      </c>
      <c r="AX25">
        <v>51</v>
      </c>
      <c r="AY25">
        <v>52</v>
      </c>
      <c r="AZ25">
        <v>53</v>
      </c>
      <c r="BA25">
        <v>54</v>
      </c>
      <c r="BB25">
        <v>55</v>
      </c>
      <c r="BC25">
        <v>56</v>
      </c>
      <c r="BD25">
        <v>57</v>
      </c>
      <c r="BE25">
        <v>58</v>
      </c>
      <c r="BF25">
        <v>59</v>
      </c>
      <c r="BG25">
        <v>60</v>
      </c>
      <c r="BH25">
        <v>61</v>
      </c>
      <c r="BI25">
        <v>62</v>
      </c>
      <c r="BJ25">
        <v>63</v>
      </c>
      <c r="BK25">
        <v>64</v>
      </c>
      <c r="BL25">
        <v>65</v>
      </c>
      <c r="BM25">
        <v>66</v>
      </c>
      <c r="BN25">
        <v>67</v>
      </c>
      <c r="BO25">
        <v>68</v>
      </c>
      <c r="BP25">
        <v>69</v>
      </c>
      <c r="BQ25">
        <v>70</v>
      </c>
      <c r="BR25">
        <v>71</v>
      </c>
      <c r="BS25">
        <v>72</v>
      </c>
      <c r="BT25">
        <v>73</v>
      </c>
      <c r="BU25">
        <v>74</v>
      </c>
      <c r="BV25">
        <v>75</v>
      </c>
      <c r="BW25">
        <v>76</v>
      </c>
      <c r="BX25">
        <v>77</v>
      </c>
      <c r="BY25">
        <v>78</v>
      </c>
      <c r="BZ25">
        <v>79</v>
      </c>
      <c r="CA25">
        <v>80</v>
      </c>
      <c r="CB25">
        <v>81</v>
      </c>
      <c r="CC25">
        <v>82</v>
      </c>
      <c r="CD25">
        <v>83</v>
      </c>
      <c r="CE25">
        <v>84</v>
      </c>
      <c r="CF25">
        <v>85</v>
      </c>
      <c r="CG25">
        <v>86</v>
      </c>
      <c r="CH25">
        <v>87</v>
      </c>
      <c r="CI25">
        <v>88</v>
      </c>
      <c r="CJ25">
        <v>89</v>
      </c>
      <c r="CK25">
        <v>90</v>
      </c>
      <c r="CL25">
        <v>91</v>
      </c>
      <c r="CM25">
        <v>92</v>
      </c>
      <c r="CN25">
        <v>93</v>
      </c>
      <c r="CO25">
        <v>94</v>
      </c>
      <c r="CP25">
        <v>95</v>
      </c>
      <c r="CQ25">
        <v>96</v>
      </c>
      <c r="CR25">
        <v>97</v>
      </c>
      <c r="CS25">
        <v>98</v>
      </c>
      <c r="CT25">
        <v>99</v>
      </c>
      <c r="CU25">
        <v>100</v>
      </c>
      <c r="CV25">
        <v>101</v>
      </c>
      <c r="CW25">
        <v>102</v>
      </c>
      <c r="CX25">
        <v>103</v>
      </c>
      <c r="CY25">
        <v>104</v>
      </c>
      <c r="CZ25">
        <v>105</v>
      </c>
      <c r="DA25">
        <v>106</v>
      </c>
      <c r="DB25">
        <v>107</v>
      </c>
      <c r="DC25">
        <v>108</v>
      </c>
    </row>
    <row r="26" spans="1:108">
      <c r="A26" s="2" t="s">
        <v>26</v>
      </c>
      <c r="F26" s="138">
        <f>1/((1+($D$11/$D$8))^(F25))</f>
        <v>0.84674349057717502</v>
      </c>
      <c r="G26" s="138">
        <f>1/((1+($D$11/$D$8))^(G25))</f>
        <v>0.8268575661121772</v>
      </c>
      <c r="H26" s="138">
        <f t="shared" ref="H26:BS26" si="0">1/((1+($D$11/$D$8))^(H25))</f>
        <v>0.80743866619030047</v>
      </c>
      <c r="I26" s="138">
        <f t="shared" si="0"/>
        <v>0.78847582265543725</v>
      </c>
      <c r="J26" s="138">
        <f t="shared" si="0"/>
        <v>0.76995832494061556</v>
      </c>
      <c r="K26" s="138">
        <f t="shared" si="0"/>
        <v>0.75187571401847142</v>
      </c>
      <c r="L26" s="138">
        <f t="shared" si="0"/>
        <v>0.7342177764937956</v>
      </c>
      <c r="M26" s="138">
        <f t="shared" si="0"/>
        <v>0.71697453883481843</v>
      </c>
      <c r="N26" s="138">
        <f t="shared" si="0"/>
        <v>0.70013626173997223</v>
      </c>
      <c r="O26" s="138">
        <f t="shared" si="0"/>
        <v>0.68369343463695342</v>
      </c>
      <c r="P26" s="138">
        <f t="shared" si="0"/>
        <v>0.66763677031097457</v>
      </c>
      <c r="Q26" s="138">
        <f t="shared" si="0"/>
        <v>0.65195719965917154</v>
      </c>
      <c r="R26" s="138">
        <f t="shared" si="0"/>
        <v>0.63664586656820632</v>
      </c>
      <c r="S26" s="138">
        <f t="shared" si="0"/>
        <v>0.62169412291216863</v>
      </c>
      <c r="T26" s="138">
        <f t="shared" si="0"/>
        <v>0.60709352366795444</v>
      </c>
      <c r="U26" s="138">
        <f t="shared" si="0"/>
        <v>0.59283582214535857</v>
      </c>
      <c r="V26" s="138">
        <f t="shared" si="0"/>
        <v>0.57891296532919156</v>
      </c>
      <c r="W26" s="138">
        <f t="shared" si="0"/>
        <v>0.56531708933078617</v>
      </c>
      <c r="X26" s="138">
        <f t="shared" si="0"/>
        <v>0.55204051494632711</v>
      </c>
      <c r="Y26" s="138">
        <f t="shared" si="0"/>
        <v>0.53907574331949337</v>
      </c>
      <c r="Z26" s="138">
        <f t="shared" si="0"/>
        <v>0.52641545170596493</v>
      </c>
      <c r="AA26" s="138">
        <f t="shared" si="0"/>
        <v>0.51405248933740044</v>
      </c>
      <c r="AB26" s="138">
        <f t="shared" si="0"/>
        <v>0.50197987338255023</v>
      </c>
      <c r="AC26" s="138">
        <f t="shared" si="0"/>
        <v>0.49019078500322277</v>
      </c>
      <c r="AD26" s="138">
        <f t="shared" si="0"/>
        <v>0.47867856550287863</v>
      </c>
      <c r="AE26" s="138">
        <f t="shared" si="0"/>
        <v>0.4674367125656741</v>
      </c>
      <c r="AF26" s="138">
        <f t="shared" si="0"/>
        <v>0.45645887658383294</v>
      </c>
      <c r="AG26" s="138">
        <f t="shared" si="0"/>
        <v>0.44573885707126903</v>
      </c>
      <c r="AH26" s="138">
        <f t="shared" si="0"/>
        <v>0.43527059916143646</v>
      </c>
      <c r="AI26" s="138">
        <f t="shared" si="0"/>
        <v>0.42504819018742884</v>
      </c>
      <c r="AJ26" s="138">
        <f t="shared" si="0"/>
        <v>0.41506585634239429</v>
      </c>
      <c r="AK26" s="138">
        <f t="shared" si="0"/>
        <v>0.40531795941838228</v>
      </c>
      <c r="AL26" s="138">
        <f t="shared" si="0"/>
        <v>0.39579899362177856</v>
      </c>
      <c r="AM26" s="138">
        <f t="shared" si="0"/>
        <v>0.38650358246353067</v>
      </c>
      <c r="AN26" s="138">
        <f t="shared" si="0"/>
        <v>0.37742647572240678</v>
      </c>
      <c r="AO26" s="138">
        <f t="shared" si="0"/>
        <v>0.36856254647957309</v>
      </c>
      <c r="AP26" s="138">
        <f t="shared" si="0"/>
        <v>0.35990678822281436</v>
      </c>
      <c r="AQ26" s="138">
        <f t="shared" si="0"/>
        <v>0.3514543120187632</v>
      </c>
      <c r="AR26" s="138">
        <f t="shared" si="0"/>
        <v>0.34320034375153874</v>
      </c>
      <c r="AS26" s="138">
        <f t="shared" si="0"/>
        <v>0.33514022142623778</v>
      </c>
      <c r="AT26" s="138">
        <f t="shared" si="0"/>
        <v>0.32726939253575299</v>
      </c>
      <c r="AU26" s="138">
        <f t="shared" si="0"/>
        <v>0.31958341148943209</v>
      </c>
      <c r="AV26" s="138">
        <f t="shared" si="0"/>
        <v>0.312077937102126</v>
      </c>
      <c r="AW26" s="138">
        <f t="shared" si="0"/>
        <v>0.30474873014220599</v>
      </c>
      <c r="AX26" s="138">
        <f t="shared" si="0"/>
        <v>0.29759165093716716</v>
      </c>
      <c r="AY26" s="138">
        <f t="shared" si="0"/>
        <v>0.29060265703546423</v>
      </c>
      <c r="AZ26" s="138">
        <f t="shared" si="0"/>
        <v>0.28377780092325988</v>
      </c>
      <c r="BA26" s="138">
        <f t="shared" si="0"/>
        <v>0.27711322779479508</v>
      </c>
      <c r="BB26" s="138">
        <f t="shared" si="0"/>
        <v>0.27060517337512341</v>
      </c>
      <c r="BC26" s="138">
        <f t="shared" si="0"/>
        <v>0.26424996179397819</v>
      </c>
      <c r="BD26" s="138">
        <f t="shared" si="0"/>
        <v>0.25804400350957302</v>
      </c>
      <c r="BE26" s="138">
        <f t="shared" si="0"/>
        <v>0.25198379328116116</v>
      </c>
      <c r="BF26" s="138">
        <f t="shared" si="0"/>
        <v>0.24606590818921062</v>
      </c>
      <c r="BG26" s="138">
        <f t="shared" si="0"/>
        <v>0.2402870057020757</v>
      </c>
      <c r="BH26" s="138">
        <f t="shared" si="0"/>
        <v>0.23464382178807258</v>
      </c>
      <c r="BI26" s="138">
        <f t="shared" si="0"/>
        <v>0.22913316907189357</v>
      </c>
      <c r="BJ26" s="138">
        <f t="shared" si="0"/>
        <v>0.22375193503431828</v>
      </c>
      <c r="BK26" s="138">
        <f t="shared" si="0"/>
        <v>0.21849708025420461</v>
      </c>
      <c r="BL26" s="138">
        <f t="shared" si="0"/>
        <v>0.21336563669176761</v>
      </c>
      <c r="BM26" s="138">
        <f t="shared" si="0"/>
        <v>0.20835470601217487</v>
      </c>
      <c r="BN26" s="138">
        <f t="shared" si="0"/>
        <v>0.20346145794851311</v>
      </c>
      <c r="BO26" s="138">
        <f t="shared" si="0"/>
        <v>0.19868312870320115</v>
      </c>
      <c r="BP26" s="138">
        <f t="shared" si="0"/>
        <v>0.19401701938694513</v>
      </c>
      <c r="BQ26" s="138">
        <f t="shared" si="0"/>
        <v>0.18946049449435592</v>
      </c>
      <c r="BR26" s="138">
        <f t="shared" si="0"/>
        <v>0.18501098041536637</v>
      </c>
      <c r="BS26" s="138">
        <f t="shared" si="0"/>
        <v>0.18066596398160867</v>
      </c>
      <c r="BT26" s="138">
        <f t="shared" ref="BT26:DC26" si="1">1/((1+($D$11/$D$8))^(BT25))</f>
        <v>0.17642299104693002</v>
      </c>
      <c r="BU26" s="138">
        <f t="shared" si="1"/>
        <v>0.17227966510124509</v>
      </c>
      <c r="BV26" s="138">
        <f t="shared" si="1"/>
        <v>0.16823364591694262</v>
      </c>
      <c r="BW26" s="138">
        <f t="shared" si="1"/>
        <v>0.16428264822708133</v>
      </c>
      <c r="BX26" s="138">
        <f t="shared" si="1"/>
        <v>0.16042444043462853</v>
      </c>
      <c r="BY26" s="138">
        <f t="shared" si="1"/>
        <v>0.15665684335201266</v>
      </c>
      <c r="BZ26" s="138">
        <f t="shared" si="1"/>
        <v>0.1529777289702775</v>
      </c>
      <c r="CA26" s="138">
        <f t="shared" si="1"/>
        <v>0.1493850192571432</v>
      </c>
      <c r="CB26" s="138">
        <f t="shared" si="1"/>
        <v>0.14587668498329498</v>
      </c>
      <c r="CC26" s="138">
        <f t="shared" si="1"/>
        <v>0.14245074457623652</v>
      </c>
      <c r="CD26" s="138">
        <f t="shared" si="1"/>
        <v>0.13910526300106102</v>
      </c>
      <c r="CE26" s="138">
        <f t="shared" si="1"/>
        <v>0.13583835066750746</v>
      </c>
      <c r="CF26" s="138">
        <f t="shared" si="1"/>
        <v>0.13264816236268492</v>
      </c>
      <c r="CG26" s="138">
        <f t="shared" si="1"/>
        <v>0.1295328962088618</v>
      </c>
      <c r="CH26" s="138">
        <f t="shared" si="1"/>
        <v>0.12649079264573196</v>
      </c>
      <c r="CI26" s="138">
        <f t="shared" si="1"/>
        <v>0.12352013343658216</v>
      </c>
      <c r="CJ26" s="138">
        <f t="shared" si="1"/>
        <v>0.12061924069780008</v>
      </c>
      <c r="CK26" s="138">
        <f t="shared" si="1"/>
        <v>0.11778647595117436</v>
      </c>
      <c r="CL26" s="138">
        <f t="shared" si="1"/>
        <v>0.11502023919845158</v>
      </c>
      <c r="CM26" s="138">
        <f t="shared" si="1"/>
        <v>0.11231896801762767</v>
      </c>
      <c r="CN26" s="138">
        <f t="shared" si="1"/>
        <v>0.10968113668046253</v>
      </c>
      <c r="CO26" s="138">
        <f t="shared" si="1"/>
        <v>0.10710525529072074</v>
      </c>
      <c r="CP26" s="138">
        <f t="shared" si="1"/>
        <v>0.10458986894265002</v>
      </c>
      <c r="CQ26" s="138">
        <f t="shared" si="1"/>
        <v>0.10213355689922368</v>
      </c>
      <c r="CR26" s="138">
        <f t="shared" si="1"/>
        <v>9.9734931789681819E-2</v>
      </c>
      <c r="CS26" s="138">
        <f t="shared" si="1"/>
        <v>9.7392638825918518E-2</v>
      </c>
      <c r="CT26" s="138">
        <f t="shared" si="1"/>
        <v>9.5105355037272105E-2</v>
      </c>
      <c r="CU26" s="138">
        <f t="shared" si="1"/>
        <v>9.2871788523287077E-2</v>
      </c>
      <c r="CV26" s="138">
        <f t="shared" si="1"/>
        <v>9.0690677724024282E-2</v>
      </c>
      <c r="CW26" s="138">
        <f t="shared" si="1"/>
        <v>8.8560790707508732E-2</v>
      </c>
      <c r="CX26" s="138">
        <f t="shared" si="1"/>
        <v>8.6480924473911175E-2</v>
      </c>
      <c r="CY26" s="138">
        <f t="shared" si="1"/>
        <v>8.4449904276071644E-2</v>
      </c>
      <c r="CZ26" s="138">
        <f t="shared" si="1"/>
        <v>8.2466582955980319E-2</v>
      </c>
      <c r="DA26" s="138">
        <f t="shared" si="1"/>
        <v>8.0529840296841293E-2</v>
      </c>
      <c r="DB26" s="138">
        <f t="shared" si="1"/>
        <v>7.8638582390353304E-2</v>
      </c>
      <c r="DC26" s="138">
        <f t="shared" si="1"/>
        <v>7.6791741018849974E-2</v>
      </c>
      <c r="DD26" s="150"/>
    </row>
    <row r="28" spans="1:108" ht="21">
      <c r="A28" s="29" t="s">
        <v>27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row>
    <row r="29" spans="1:108">
      <c r="A29" s="2" t="s">
        <v>37</v>
      </c>
      <c r="F29">
        <v>1</v>
      </c>
      <c r="G29">
        <v>2</v>
      </c>
      <c r="H29">
        <v>3</v>
      </c>
      <c r="I29">
        <v>4</v>
      </c>
      <c r="J29">
        <v>5</v>
      </c>
      <c r="K29">
        <v>6</v>
      </c>
      <c r="L29">
        <v>7</v>
      </c>
      <c r="M29">
        <v>8</v>
      </c>
      <c r="N29">
        <v>9</v>
      </c>
    </row>
    <row r="30" spans="1:108">
      <c r="A30" s="27"/>
      <c r="B30" s="26" t="s">
        <v>28</v>
      </c>
      <c r="C30" s="27"/>
      <c r="D30" s="71">
        <f>SUM(F30:DC30)</f>
        <v>-3773756.3989013201</v>
      </c>
      <c r="E30" s="71"/>
      <c r="F30" s="71">
        <f>PMT($D$5,$D$9,$D$10)</f>
        <v>-419306.26654459105</v>
      </c>
      <c r="G30" s="71">
        <f t="shared" ref="G30:N30" si="2">PMT($D$5,$D$9,$D$10)</f>
        <v>-419306.26654459105</v>
      </c>
      <c r="H30" s="71">
        <f t="shared" si="2"/>
        <v>-419306.26654459105</v>
      </c>
      <c r="I30" s="71">
        <f t="shared" si="2"/>
        <v>-419306.26654459105</v>
      </c>
      <c r="J30" s="71">
        <f t="shared" si="2"/>
        <v>-419306.26654459105</v>
      </c>
      <c r="K30" s="71">
        <f t="shared" si="2"/>
        <v>-419306.26654459105</v>
      </c>
      <c r="L30" s="71">
        <f t="shared" si="2"/>
        <v>-419306.26654459105</v>
      </c>
      <c r="M30" s="71">
        <f t="shared" si="2"/>
        <v>-419306.26654459105</v>
      </c>
      <c r="N30" s="71">
        <f t="shared" si="2"/>
        <v>-419306.26654459105</v>
      </c>
      <c r="O30" s="71"/>
      <c r="P30" s="71"/>
      <c r="Q30" s="71"/>
      <c r="R30" s="71"/>
      <c r="S30" s="71"/>
      <c r="T30" s="71"/>
      <c r="U30" s="71"/>
      <c r="V30" s="71"/>
      <c r="W30" s="71"/>
      <c r="X30" s="71"/>
      <c r="Y30" s="71"/>
    </row>
    <row r="31" spans="1:108">
      <c r="A31" s="27"/>
      <c r="B31" s="27"/>
      <c r="C31" s="27" t="s">
        <v>29</v>
      </c>
      <c r="D31" s="71">
        <f t="shared" ref="D31:D36" si="3">SUM(F31:DC31)</f>
        <v>-3422476.9999999995</v>
      </c>
      <c r="E31" s="71"/>
      <c r="F31" s="71">
        <f t="shared" ref="F31:N31" si="4">PPMT($D$5,F$29,$D$9,$D$10)</f>
        <v>-350856.72654459107</v>
      </c>
      <c r="G31" s="71">
        <f t="shared" si="4"/>
        <v>-357873.8610754828</v>
      </c>
      <c r="H31" s="71">
        <f t="shared" si="4"/>
        <v>-365031.33829699247</v>
      </c>
      <c r="I31" s="71">
        <f t="shared" si="4"/>
        <v>-372331.9650629324</v>
      </c>
      <c r="J31" s="71">
        <f t="shared" si="4"/>
        <v>-379778.60436419101</v>
      </c>
      <c r="K31" s="71">
        <f t="shared" si="4"/>
        <v>-387374.17645147484</v>
      </c>
      <c r="L31" s="71">
        <f t="shared" si="4"/>
        <v>-395121.65998050437</v>
      </c>
      <c r="M31" s="71">
        <f t="shared" si="4"/>
        <v>-403024.0931801144</v>
      </c>
      <c r="N31" s="71">
        <f t="shared" si="4"/>
        <v>-411084.57504371664</v>
      </c>
      <c r="O31" s="71"/>
      <c r="P31" s="71"/>
      <c r="Q31" s="71"/>
      <c r="R31" s="71"/>
      <c r="S31" s="71"/>
      <c r="T31" s="71"/>
      <c r="U31" s="71"/>
      <c r="V31" s="71"/>
      <c r="W31" s="71"/>
      <c r="X31" s="71"/>
      <c r="Y31" s="71"/>
    </row>
    <row r="32" spans="1:108">
      <c r="A32" s="27"/>
      <c r="B32" s="27"/>
      <c r="C32" s="27" t="s">
        <v>30</v>
      </c>
      <c r="D32" s="71">
        <f t="shared" si="3"/>
        <v>-351279.39890131931</v>
      </c>
      <c r="E32" s="71"/>
      <c r="F32" s="71">
        <f>IPMT($D$5,F$29,$D$9,$D$10)</f>
        <v>-68449.540000000008</v>
      </c>
      <c r="G32" s="71">
        <f t="shared" ref="G32:N32" si="5">IPMT($D$5,G$29,$D$9,$D$10)</f>
        <v>-61432.405469108176</v>
      </c>
      <c r="H32" s="71">
        <f t="shared" si="5"/>
        <v>-54274.928247598531</v>
      </c>
      <c r="I32" s="71">
        <f t="shared" si="5"/>
        <v>-46974.30148165868</v>
      </c>
      <c r="J32" s="71">
        <f t="shared" si="5"/>
        <v>-39527.662180400024</v>
      </c>
      <c r="K32" s="71">
        <f t="shared" si="5"/>
        <v>-31932.090093116207</v>
      </c>
      <c r="L32" s="71">
        <f t="shared" si="5"/>
        <v>-24184.606564086709</v>
      </c>
      <c r="M32" s="71">
        <f t="shared" si="5"/>
        <v>-16282.173364476625</v>
      </c>
      <c r="N32" s="71">
        <f t="shared" si="5"/>
        <v>-8221.6915008743345</v>
      </c>
      <c r="O32" s="71"/>
      <c r="P32" s="71"/>
      <c r="Q32" s="71"/>
      <c r="R32" s="71"/>
      <c r="S32" s="71"/>
      <c r="T32" s="71"/>
      <c r="U32" s="71"/>
      <c r="V32" s="71"/>
      <c r="W32" s="71"/>
      <c r="X32" s="71"/>
      <c r="Y32" s="71"/>
    </row>
    <row r="33" spans="1:108">
      <c r="A33" s="27"/>
      <c r="B33" s="33" t="s">
        <v>31</v>
      </c>
      <c r="C33" s="33"/>
      <c r="D33" s="71"/>
      <c r="E33" s="71">
        <f>D10</f>
        <v>3422477</v>
      </c>
      <c r="F33" s="71">
        <f>E33+F31</f>
        <v>3071620.2734554089</v>
      </c>
      <c r="G33" s="71">
        <f t="shared" ref="G33:N33" si="6">F33+G31</f>
        <v>2713746.4123799261</v>
      </c>
      <c r="H33" s="71">
        <f t="shared" si="6"/>
        <v>2348715.0740829334</v>
      </c>
      <c r="I33" s="71">
        <f t="shared" si="6"/>
        <v>1976383.109020001</v>
      </c>
      <c r="J33" s="71">
        <f t="shared" si="6"/>
        <v>1596604.5046558101</v>
      </c>
      <c r="K33" s="71">
        <f t="shared" si="6"/>
        <v>1209230.3282043352</v>
      </c>
      <c r="L33" s="71">
        <f t="shared" si="6"/>
        <v>814108.66822383087</v>
      </c>
      <c r="M33" s="71">
        <f t="shared" si="6"/>
        <v>411084.57504371647</v>
      </c>
      <c r="N33" s="71">
        <f t="shared" si="6"/>
        <v>0</v>
      </c>
      <c r="O33" s="71"/>
      <c r="P33" s="71"/>
      <c r="Q33" s="71"/>
      <c r="R33" s="71"/>
      <c r="S33" s="71"/>
      <c r="T33" s="71"/>
      <c r="U33" s="71"/>
      <c r="V33" s="71"/>
      <c r="W33" s="71"/>
      <c r="X33" s="71"/>
      <c r="Y33" s="71"/>
    </row>
    <row r="34" spans="1:108">
      <c r="A34" s="27"/>
      <c r="B34" s="26" t="s">
        <v>32</v>
      </c>
      <c r="C34" s="27"/>
      <c r="D34" s="71">
        <f t="shared" si="3"/>
        <v>-2911108.4597455477</v>
      </c>
      <c r="E34" s="71"/>
      <c r="F34" s="71">
        <f>F30*F26</f>
        <v>-355044.85175485036</v>
      </c>
      <c r="G34" s="71">
        <f t="shared" ref="G34:N34" si="7">G30*G26</f>
        <v>-346706.55901064439</v>
      </c>
      <c r="H34" s="71">
        <f t="shared" si="7"/>
        <v>-338564.09258399921</v>
      </c>
      <c r="I34" s="71">
        <f t="shared" si="7"/>
        <v>-330612.85345832648</v>
      </c>
      <c r="J34" s="71">
        <f t="shared" si="7"/>
        <v>-322848.35062577657</v>
      </c>
      <c r="K34" s="71">
        <f t="shared" si="7"/>
        <v>-315266.19855063391</v>
      </c>
      <c r="L34" s="71">
        <f t="shared" si="7"/>
        <v>-307862.11469228443</v>
      </c>
      <c r="M34" s="71">
        <f t="shared" si="7"/>
        <v>-300631.9170863576</v>
      </c>
      <c r="N34" s="71">
        <f t="shared" si="7"/>
        <v>-293571.52198267437</v>
      </c>
      <c r="O34" s="71"/>
      <c r="P34" s="71"/>
      <c r="Q34" s="71"/>
      <c r="R34" s="71"/>
      <c r="S34" s="71"/>
      <c r="T34" s="71"/>
      <c r="U34" s="71"/>
      <c r="V34" s="71"/>
      <c r="W34" s="71"/>
      <c r="X34" s="71"/>
      <c r="Y34" s="71"/>
    </row>
    <row r="35" spans="1:108">
      <c r="A35" s="27"/>
      <c r="B35" s="27"/>
      <c r="C35" s="27" t="s">
        <v>29</v>
      </c>
      <c r="D35" s="71">
        <f t="shared" si="3"/>
        <v>-2631861.0396259218</v>
      </c>
      <c r="E35" s="71"/>
      <c r="F35" s="71">
        <f>F31*F26</f>
        <v>-297085.64932684845</v>
      </c>
      <c r="G35" s="71">
        <f t="shared" ref="G35:N35" si="8">G31*G26</f>
        <v>-295910.70974404115</v>
      </c>
      <c r="H35" s="71">
        <f t="shared" si="8"/>
        <v>-294740.41691218392</v>
      </c>
      <c r="I35" s="71">
        <f t="shared" si="8"/>
        <v>-293574.75245391118</v>
      </c>
      <c r="J35" s="71">
        <f t="shared" si="8"/>
        <v>-292413.69806453725</v>
      </c>
      <c r="K35" s="71">
        <f t="shared" si="8"/>
        <v>-291257.23551177001</v>
      </c>
      <c r="L35" s="71">
        <f t="shared" si="8"/>
        <v>-290105.34663542348</v>
      </c>
      <c r="M35" s="71">
        <f t="shared" si="8"/>
        <v>-288958.01334713341</v>
      </c>
      <c r="N35" s="71">
        <f t="shared" si="8"/>
        <v>-287815.21763007285</v>
      </c>
      <c r="O35" s="71"/>
      <c r="P35" s="71"/>
      <c r="Q35" s="71"/>
      <c r="R35" s="71"/>
      <c r="S35" s="71"/>
      <c r="T35" s="71"/>
      <c r="U35" s="71"/>
      <c r="V35" s="71"/>
      <c r="W35" s="71"/>
      <c r="X35" s="71"/>
      <c r="Y35" s="71"/>
    </row>
    <row r="36" spans="1:108">
      <c r="A36" s="27"/>
      <c r="B36" s="27"/>
      <c r="C36" s="27" t="s">
        <v>30</v>
      </c>
      <c r="D36" s="71">
        <f t="shared" si="3"/>
        <v>-279247.42011962563</v>
      </c>
      <c r="E36" s="71"/>
      <c r="F36" s="71">
        <f>F32*F26</f>
        <v>-57959.202428001969</v>
      </c>
      <c r="G36" s="71">
        <f t="shared" ref="G36:N36" si="9">G32*G26</f>
        <v>-50795.849266603189</v>
      </c>
      <c r="H36" s="71">
        <f t="shared" si="9"/>
        <v>-43823.675671815217</v>
      </c>
      <c r="I36" s="71">
        <f t="shared" si="9"/>
        <v>-37038.101004415352</v>
      </c>
      <c r="J36" s="71">
        <f t="shared" si="9"/>
        <v>-30434.652561239323</v>
      </c>
      <c r="K36" s="71">
        <f t="shared" si="9"/>
        <v>-24008.963038863905</v>
      </c>
      <c r="L36" s="71">
        <f t="shared" si="9"/>
        <v>-17756.768056860998</v>
      </c>
      <c r="M36" s="71">
        <f t="shared" si="9"/>
        <v>-11673.903739224192</v>
      </c>
      <c r="N36" s="71">
        <f t="shared" si="9"/>
        <v>-5756.304352601458</v>
      </c>
      <c r="O36" s="71"/>
      <c r="P36" s="71"/>
      <c r="Q36" s="71"/>
      <c r="R36" s="71"/>
      <c r="S36" s="71"/>
      <c r="T36" s="71"/>
      <c r="U36" s="71"/>
      <c r="V36" s="71"/>
      <c r="W36" s="71"/>
      <c r="X36" s="71"/>
      <c r="Y36" s="71"/>
    </row>
    <row r="38" spans="1:108" ht="21">
      <c r="A38" s="29" t="s">
        <v>33</v>
      </c>
      <c r="B38" s="30"/>
      <c r="C38" s="30"/>
      <c r="D38" s="30"/>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row>
    <row r="39" spans="1:108">
      <c r="A39" s="174" t="s">
        <v>150</v>
      </c>
      <c r="B39" s="44"/>
      <c r="C39" s="37"/>
      <c r="D39" s="37"/>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row>
    <row r="40" spans="1:108">
      <c r="A40" s="140" t="s">
        <v>24</v>
      </c>
      <c r="B40" s="141"/>
      <c r="C40" s="142"/>
      <c r="D40" s="142"/>
      <c r="E40" s="141" t="s">
        <v>25</v>
      </c>
      <c r="F40" s="141" t="s">
        <v>25</v>
      </c>
      <c r="G40" s="141" t="s">
        <v>25</v>
      </c>
      <c r="H40" t="s">
        <v>25</v>
      </c>
      <c r="I40" t="s">
        <v>25</v>
      </c>
      <c r="J40" t="s">
        <v>25</v>
      </c>
      <c r="K40" t="s">
        <v>25</v>
      </c>
      <c r="L40" t="s">
        <v>25</v>
      </c>
      <c r="M40" t="s">
        <v>25</v>
      </c>
      <c r="N40" t="s">
        <v>25</v>
      </c>
      <c r="O40" t="s">
        <v>25</v>
      </c>
      <c r="P40" t="s">
        <v>25</v>
      </c>
      <c r="Q40" t="s">
        <v>25</v>
      </c>
      <c r="R40" t="s">
        <v>25</v>
      </c>
      <c r="S40" t="s">
        <v>25</v>
      </c>
      <c r="T40" t="s">
        <v>25</v>
      </c>
      <c r="U40" t="s">
        <v>25</v>
      </c>
      <c r="V40" t="s">
        <v>25</v>
      </c>
      <c r="W40" t="s">
        <v>25</v>
      </c>
      <c r="X40" t="s">
        <v>25</v>
      </c>
      <c r="Y40" t="s">
        <v>25</v>
      </c>
      <c r="Z40" t="s">
        <v>25</v>
      </c>
      <c r="AA40" t="s">
        <v>25</v>
      </c>
      <c r="AB40" t="s">
        <v>25</v>
      </c>
      <c r="AC40" t="s">
        <v>25</v>
      </c>
      <c r="AD40" t="s">
        <v>25</v>
      </c>
      <c r="AE40" t="s">
        <v>25</v>
      </c>
      <c r="AF40" t="s">
        <v>25</v>
      </c>
      <c r="AG40" t="s">
        <v>25</v>
      </c>
      <c r="AH40" t="s">
        <v>25</v>
      </c>
      <c r="AI40" t="s">
        <v>25</v>
      </c>
      <c r="AJ40" t="s">
        <v>25</v>
      </c>
      <c r="AK40" t="s">
        <v>25</v>
      </c>
      <c r="AL40" t="s">
        <v>25</v>
      </c>
      <c r="AM40" t="s">
        <v>25</v>
      </c>
      <c r="AN40" s="141">
        <v>1</v>
      </c>
      <c r="AO40" s="141">
        <v>2</v>
      </c>
      <c r="AP40" s="141">
        <v>3</v>
      </c>
      <c r="AQ40" s="141">
        <v>4</v>
      </c>
      <c r="AR40" s="141">
        <v>5</v>
      </c>
      <c r="AS40" s="141">
        <v>6</v>
      </c>
      <c r="AT40" s="141">
        <v>7</v>
      </c>
      <c r="AU40" s="141">
        <v>8</v>
      </c>
      <c r="AV40" s="141">
        <v>9</v>
      </c>
      <c r="AW40" s="141">
        <v>10</v>
      </c>
      <c r="AX40" s="141">
        <v>11</v>
      </c>
      <c r="AY40" s="141">
        <v>12</v>
      </c>
      <c r="AZ40" s="141">
        <v>13</v>
      </c>
      <c r="BA40" s="141">
        <v>14</v>
      </c>
      <c r="BB40" s="141">
        <v>15</v>
      </c>
      <c r="BC40" s="141">
        <v>16</v>
      </c>
      <c r="BD40" s="141">
        <v>17</v>
      </c>
      <c r="BE40" s="141">
        <v>18</v>
      </c>
      <c r="BF40" s="141">
        <v>19</v>
      </c>
      <c r="BG40" s="141">
        <v>20</v>
      </c>
      <c r="BH40" s="141">
        <v>21</v>
      </c>
      <c r="BI40" s="141">
        <v>22</v>
      </c>
      <c r="BJ40" s="141">
        <v>23</v>
      </c>
      <c r="BK40" s="141">
        <v>24</v>
      </c>
      <c r="BL40" s="141">
        <v>25</v>
      </c>
      <c r="BM40" s="141">
        <v>26</v>
      </c>
      <c r="BN40" s="141">
        <v>27</v>
      </c>
      <c r="BO40" s="141">
        <v>28</v>
      </c>
      <c r="BP40" s="141">
        <v>29</v>
      </c>
      <c r="BQ40" s="141">
        <v>30</v>
      </c>
      <c r="BR40" s="141">
        <v>31</v>
      </c>
      <c r="BS40" s="141">
        <v>32</v>
      </c>
      <c r="BT40" s="141">
        <v>33</v>
      </c>
      <c r="BU40" s="141">
        <v>34</v>
      </c>
      <c r="BV40" s="141">
        <v>35</v>
      </c>
      <c r="BW40" s="141">
        <v>36</v>
      </c>
      <c r="BX40" s="141">
        <v>37</v>
      </c>
      <c r="BY40" s="141">
        <v>38</v>
      </c>
      <c r="BZ40" s="141">
        <v>39</v>
      </c>
      <c r="CA40" s="141">
        <v>40</v>
      </c>
      <c r="CB40" s="141">
        <v>41</v>
      </c>
      <c r="CC40" s="141">
        <v>42</v>
      </c>
      <c r="CD40" s="141">
        <v>43</v>
      </c>
      <c r="CE40" s="141">
        <v>44</v>
      </c>
      <c r="CF40" s="141">
        <v>45</v>
      </c>
      <c r="CG40" s="141">
        <v>46</v>
      </c>
      <c r="CH40" s="141">
        <v>47</v>
      </c>
      <c r="CI40" s="141">
        <v>48</v>
      </c>
      <c r="CJ40" s="141">
        <v>49</v>
      </c>
      <c r="CK40" s="141">
        <v>50</v>
      </c>
      <c r="CL40" s="141">
        <v>51</v>
      </c>
      <c r="CM40" s="141">
        <v>52</v>
      </c>
      <c r="CN40" s="141">
        <v>53</v>
      </c>
      <c r="CO40" s="141">
        <v>54</v>
      </c>
      <c r="CP40" s="141">
        <v>55</v>
      </c>
      <c r="CQ40" s="141">
        <v>56</v>
      </c>
      <c r="CR40" s="141">
        <v>57</v>
      </c>
      <c r="CS40" s="141">
        <v>58</v>
      </c>
      <c r="CT40" s="141">
        <v>59</v>
      </c>
      <c r="CU40" s="141">
        <v>60</v>
      </c>
      <c r="CV40" s="141">
        <v>61</v>
      </c>
      <c r="CW40" s="141">
        <v>62</v>
      </c>
      <c r="CX40" s="141">
        <v>63</v>
      </c>
      <c r="CY40" s="141">
        <v>64</v>
      </c>
      <c r="CZ40" s="141">
        <v>65</v>
      </c>
      <c r="DA40" s="141">
        <v>66</v>
      </c>
      <c r="DB40" s="141">
        <v>67</v>
      </c>
      <c r="DC40" s="141">
        <v>68</v>
      </c>
    </row>
    <row r="41" spans="1:108">
      <c r="A41" s="41"/>
      <c r="B41" s="26" t="s">
        <v>28</v>
      </c>
      <c r="C41" s="27"/>
      <c r="D41" s="71">
        <f>SUM(F41:DC41)</f>
        <v>-6374293.0824894784</v>
      </c>
      <c r="AN41" s="71">
        <f>PMT($D$15,$D$19,$D$20)</f>
        <v>-93739.604154256944</v>
      </c>
      <c r="AO41" s="71">
        <f t="shared" ref="AO41:CZ41" si="10">PMT($D$15,$D$19,$D$20)</f>
        <v>-93739.604154256944</v>
      </c>
      <c r="AP41" s="71">
        <f t="shared" si="10"/>
        <v>-93739.604154256944</v>
      </c>
      <c r="AQ41" s="71">
        <f t="shared" si="10"/>
        <v>-93739.604154256944</v>
      </c>
      <c r="AR41" s="71">
        <f t="shared" si="10"/>
        <v>-93739.604154256944</v>
      </c>
      <c r="AS41" s="71">
        <f t="shared" si="10"/>
        <v>-93739.604154256944</v>
      </c>
      <c r="AT41" s="71">
        <f t="shared" si="10"/>
        <v>-93739.604154256944</v>
      </c>
      <c r="AU41" s="71">
        <f t="shared" si="10"/>
        <v>-93739.604154256944</v>
      </c>
      <c r="AV41" s="71">
        <f t="shared" si="10"/>
        <v>-93739.604154256944</v>
      </c>
      <c r="AW41" s="71">
        <f t="shared" si="10"/>
        <v>-93739.604154256944</v>
      </c>
      <c r="AX41" s="71">
        <f t="shared" si="10"/>
        <v>-93739.604154256944</v>
      </c>
      <c r="AY41" s="71">
        <f t="shared" si="10"/>
        <v>-93739.604154256944</v>
      </c>
      <c r="AZ41" s="71">
        <f t="shared" si="10"/>
        <v>-93739.604154256944</v>
      </c>
      <c r="BA41" s="71">
        <f t="shared" si="10"/>
        <v>-93739.604154256944</v>
      </c>
      <c r="BB41" s="71">
        <f t="shared" si="10"/>
        <v>-93739.604154256944</v>
      </c>
      <c r="BC41" s="71">
        <f t="shared" si="10"/>
        <v>-93739.604154256944</v>
      </c>
      <c r="BD41" s="71">
        <f t="shared" si="10"/>
        <v>-93739.604154256944</v>
      </c>
      <c r="BE41" s="71">
        <f t="shared" si="10"/>
        <v>-93739.604154256944</v>
      </c>
      <c r="BF41" s="71">
        <f t="shared" si="10"/>
        <v>-93739.604154256944</v>
      </c>
      <c r="BG41" s="71">
        <f t="shared" si="10"/>
        <v>-93739.604154256944</v>
      </c>
      <c r="BH41" s="71">
        <f t="shared" si="10"/>
        <v>-93739.604154256944</v>
      </c>
      <c r="BI41" s="71">
        <f t="shared" si="10"/>
        <v>-93739.604154256944</v>
      </c>
      <c r="BJ41" s="71">
        <f t="shared" si="10"/>
        <v>-93739.604154256944</v>
      </c>
      <c r="BK41" s="71">
        <f t="shared" si="10"/>
        <v>-93739.604154256944</v>
      </c>
      <c r="BL41" s="71">
        <f t="shared" si="10"/>
        <v>-93739.604154256944</v>
      </c>
      <c r="BM41" s="71">
        <f t="shared" si="10"/>
        <v>-93739.604154256944</v>
      </c>
      <c r="BN41" s="71">
        <f t="shared" si="10"/>
        <v>-93739.604154256944</v>
      </c>
      <c r="BO41" s="71">
        <f t="shared" si="10"/>
        <v>-93739.604154256944</v>
      </c>
      <c r="BP41" s="71">
        <f t="shared" si="10"/>
        <v>-93739.604154256944</v>
      </c>
      <c r="BQ41" s="71">
        <f t="shared" si="10"/>
        <v>-93739.604154256944</v>
      </c>
      <c r="BR41" s="71">
        <f t="shared" si="10"/>
        <v>-93739.604154256944</v>
      </c>
      <c r="BS41" s="71">
        <f t="shared" si="10"/>
        <v>-93739.604154256944</v>
      </c>
      <c r="BT41" s="71">
        <f t="shared" si="10"/>
        <v>-93739.604154256944</v>
      </c>
      <c r="BU41" s="71">
        <f t="shared" si="10"/>
        <v>-93739.604154256944</v>
      </c>
      <c r="BV41" s="71">
        <f t="shared" si="10"/>
        <v>-93739.604154256944</v>
      </c>
      <c r="BW41" s="71">
        <f t="shared" si="10"/>
        <v>-93739.604154256944</v>
      </c>
      <c r="BX41" s="71">
        <f t="shared" si="10"/>
        <v>-93739.604154256944</v>
      </c>
      <c r="BY41" s="71">
        <f t="shared" si="10"/>
        <v>-93739.604154256944</v>
      </c>
      <c r="BZ41" s="71">
        <f t="shared" si="10"/>
        <v>-93739.604154256944</v>
      </c>
      <c r="CA41" s="71">
        <f t="shared" si="10"/>
        <v>-93739.604154256944</v>
      </c>
      <c r="CB41" s="71">
        <f t="shared" si="10"/>
        <v>-93739.604154256944</v>
      </c>
      <c r="CC41" s="71">
        <f t="shared" si="10"/>
        <v>-93739.604154256944</v>
      </c>
      <c r="CD41" s="71">
        <f t="shared" si="10"/>
        <v>-93739.604154256944</v>
      </c>
      <c r="CE41" s="71">
        <f t="shared" si="10"/>
        <v>-93739.604154256944</v>
      </c>
      <c r="CF41" s="71">
        <f t="shared" si="10"/>
        <v>-93739.604154256944</v>
      </c>
      <c r="CG41" s="71">
        <f t="shared" si="10"/>
        <v>-93739.604154256944</v>
      </c>
      <c r="CH41" s="71">
        <f t="shared" si="10"/>
        <v>-93739.604154256944</v>
      </c>
      <c r="CI41" s="71">
        <f t="shared" si="10"/>
        <v>-93739.604154256944</v>
      </c>
      <c r="CJ41" s="71">
        <f t="shared" si="10"/>
        <v>-93739.604154256944</v>
      </c>
      <c r="CK41" s="71">
        <f t="shared" si="10"/>
        <v>-93739.604154256944</v>
      </c>
      <c r="CL41" s="71">
        <f t="shared" si="10"/>
        <v>-93739.604154256944</v>
      </c>
      <c r="CM41" s="71">
        <f t="shared" si="10"/>
        <v>-93739.604154256944</v>
      </c>
      <c r="CN41" s="71">
        <f t="shared" si="10"/>
        <v>-93739.604154256944</v>
      </c>
      <c r="CO41" s="71">
        <f t="shared" si="10"/>
        <v>-93739.604154256944</v>
      </c>
      <c r="CP41" s="71">
        <f t="shared" si="10"/>
        <v>-93739.604154256944</v>
      </c>
      <c r="CQ41" s="71">
        <f t="shared" si="10"/>
        <v>-93739.604154256944</v>
      </c>
      <c r="CR41" s="71">
        <f t="shared" si="10"/>
        <v>-93739.604154256944</v>
      </c>
      <c r="CS41" s="71">
        <f t="shared" si="10"/>
        <v>-93739.604154256944</v>
      </c>
      <c r="CT41" s="71">
        <f t="shared" si="10"/>
        <v>-93739.604154256944</v>
      </c>
      <c r="CU41" s="71">
        <f t="shared" si="10"/>
        <v>-93739.604154256944</v>
      </c>
      <c r="CV41" s="71">
        <f t="shared" si="10"/>
        <v>-93739.604154256944</v>
      </c>
      <c r="CW41" s="71">
        <f t="shared" si="10"/>
        <v>-93739.604154256944</v>
      </c>
      <c r="CX41" s="71">
        <f t="shared" si="10"/>
        <v>-93739.604154256944</v>
      </c>
      <c r="CY41" s="71">
        <f t="shared" si="10"/>
        <v>-93739.604154256944</v>
      </c>
      <c r="CZ41" s="71">
        <f t="shared" si="10"/>
        <v>-93739.604154256944</v>
      </c>
      <c r="DA41" s="71">
        <f t="shared" ref="DA41:DC41" si="11">PMT($D$15,$D$19,$D$20)</f>
        <v>-93739.604154256944</v>
      </c>
      <c r="DB41" s="71">
        <f t="shared" si="11"/>
        <v>-93739.604154256944</v>
      </c>
      <c r="DC41" s="71">
        <f t="shared" si="11"/>
        <v>-93739.604154256944</v>
      </c>
      <c r="DD41" s="155"/>
    </row>
    <row r="42" spans="1:108">
      <c r="A42" s="41"/>
      <c r="B42" s="27"/>
      <c r="C42" s="27" t="s">
        <v>29</v>
      </c>
      <c r="D42" s="71">
        <f t="shared" ref="D42:D47" si="12">SUM(F42:DC42)</f>
        <v>-3467762.0000000009</v>
      </c>
      <c r="AN42" s="71">
        <f t="shared" ref="AN42:BW42" si="13">PPMT($D$15,AN$40,$D$19,$D$20)</f>
        <v>-24384.364154256931</v>
      </c>
      <c r="AO42" s="71">
        <f t="shared" si="13"/>
        <v>-24872.05143734207</v>
      </c>
      <c r="AP42" s="71">
        <f t="shared" si="13"/>
        <v>-25369.492466088908</v>
      </c>
      <c r="AQ42" s="71">
        <f t="shared" si="13"/>
        <v>-25876.882315410683</v>
      </c>
      <c r="AR42" s="71">
        <f t="shared" si="13"/>
        <v>-26394.419961718901</v>
      </c>
      <c r="AS42" s="71">
        <f t="shared" si="13"/>
        <v>-26922.308360953277</v>
      </c>
      <c r="AT42" s="71">
        <f t="shared" si="13"/>
        <v>-27460.754528172347</v>
      </c>
      <c r="AU42" s="71">
        <f t="shared" si="13"/>
        <v>-28009.969618735788</v>
      </c>
      <c r="AV42" s="71">
        <f t="shared" si="13"/>
        <v>-28570.169011110505</v>
      </c>
      <c r="AW42" s="71">
        <f t="shared" si="13"/>
        <v>-29141.572391332713</v>
      </c>
      <c r="AX42" s="71">
        <f t="shared" si="13"/>
        <v>-29724.403839159375</v>
      </c>
      <c r="AY42" s="71">
        <f t="shared" si="13"/>
        <v>-30318.891915942553</v>
      </c>
      <c r="AZ42" s="71">
        <f t="shared" si="13"/>
        <v>-30925.269754261408</v>
      </c>
      <c r="BA42" s="71">
        <f t="shared" si="13"/>
        <v>-31543.775149346638</v>
      </c>
      <c r="BB42" s="71">
        <f t="shared" si="13"/>
        <v>-32174.650652333574</v>
      </c>
      <c r="BC42" s="71">
        <f t="shared" si="13"/>
        <v>-32818.143665380238</v>
      </c>
      <c r="BD42" s="71">
        <f t="shared" si="13"/>
        <v>-33474.506538687849</v>
      </c>
      <c r="BE42" s="71">
        <f t="shared" si="13"/>
        <v>-34143.996669461601</v>
      </c>
      <c r="BF42" s="71">
        <f t="shared" si="13"/>
        <v>-34826.876602850833</v>
      </c>
      <c r="BG42" s="71">
        <f t="shared" si="13"/>
        <v>-35523.414134907856</v>
      </c>
      <c r="BH42" s="71">
        <f t="shared" si="13"/>
        <v>-36233.882417606008</v>
      </c>
      <c r="BI42" s="71">
        <f t="shared" si="13"/>
        <v>-36958.560065958125</v>
      </c>
      <c r="BJ42" s="71">
        <f t="shared" si="13"/>
        <v>-37697.731267277297</v>
      </c>
      <c r="BK42" s="71">
        <f t="shared" si="13"/>
        <v>-38451.685892622838</v>
      </c>
      <c r="BL42" s="71">
        <f t="shared" si="13"/>
        <v>-39220.719610475295</v>
      </c>
      <c r="BM42" s="71">
        <f t="shared" si="13"/>
        <v>-40005.134002684805</v>
      </c>
      <c r="BN42" s="71">
        <f t="shared" si="13"/>
        <v>-40805.236682738498</v>
      </c>
      <c r="BO42" s="71">
        <f t="shared" si="13"/>
        <v>-41621.341416393261</v>
      </c>
      <c r="BP42" s="71">
        <f t="shared" si="13"/>
        <v>-42453.768244721134</v>
      </c>
      <c r="BQ42" s="71">
        <f t="shared" si="13"/>
        <v>-43302.843609615549</v>
      </c>
      <c r="BR42" s="71">
        <f t="shared" si="13"/>
        <v>-44168.900481807861</v>
      </c>
      <c r="BS42" s="71">
        <f t="shared" si="13"/>
        <v>-45052.27849144402</v>
      </c>
      <c r="BT42" s="71">
        <f t="shared" si="13"/>
        <v>-45953.324061272899</v>
      </c>
      <c r="BU42" s="71">
        <f t="shared" si="13"/>
        <v>-46872.39054249836</v>
      </c>
      <c r="BV42" s="71">
        <f t="shared" si="13"/>
        <v>-47809.838353348321</v>
      </c>
      <c r="BW42" s="71">
        <f t="shared" si="13"/>
        <v>-48766.035120415298</v>
      </c>
      <c r="BX42" s="71">
        <f t="shared" ref="BX42:DC42" si="14">PPMT($D$15,BX$40,$D$19,$D$20)</f>
        <v>-49741.355822823607</v>
      </c>
      <c r="BY42" s="71">
        <f t="shared" si="14"/>
        <v>-50736.182939280079</v>
      </c>
      <c r="BZ42" s="71">
        <f t="shared" si="14"/>
        <v>-51750.906598065674</v>
      </c>
      <c r="CA42" s="71">
        <f t="shared" si="14"/>
        <v>-52785.924730026985</v>
      </c>
      <c r="CB42" s="71">
        <f t="shared" si="14"/>
        <v>-53841.643224627529</v>
      </c>
      <c r="CC42" s="71">
        <f t="shared" si="14"/>
        <v>-54918.476089120079</v>
      </c>
      <c r="CD42" s="71">
        <f t="shared" si="14"/>
        <v>-56016.845610902477</v>
      </c>
      <c r="CE42" s="71">
        <f t="shared" si="14"/>
        <v>-57137.182523120522</v>
      </c>
      <c r="CF42" s="71">
        <f t="shared" si="14"/>
        <v>-58279.926173582935</v>
      </c>
      <c r="CG42" s="71">
        <f t="shared" si="14"/>
        <v>-59445.5246970546</v>
      </c>
      <c r="CH42" s="71">
        <f t="shared" si="14"/>
        <v>-60634.435190995689</v>
      </c>
      <c r="CI42" s="71">
        <f t="shared" si="14"/>
        <v>-61847.123894815595</v>
      </c>
      <c r="CJ42" s="71">
        <f t="shared" si="14"/>
        <v>-63084.06637271191</v>
      </c>
      <c r="CK42" s="71">
        <f t="shared" si="14"/>
        <v>-64345.747700166154</v>
      </c>
      <c r="CL42" s="71">
        <f t="shared" si="14"/>
        <v>-65632.662654169471</v>
      </c>
      <c r="CM42" s="71">
        <f t="shared" si="14"/>
        <v>-66945.315907252865</v>
      </c>
      <c r="CN42" s="71">
        <f t="shared" si="14"/>
        <v>-68284.222225397927</v>
      </c>
      <c r="CO42" s="71">
        <f t="shared" si="14"/>
        <v>-69649.906669905889</v>
      </c>
      <c r="CP42" s="71">
        <f t="shared" si="14"/>
        <v>-71042.904803304002</v>
      </c>
      <c r="CQ42" s="71">
        <f t="shared" si="14"/>
        <v>-72463.762899370078</v>
      </c>
      <c r="CR42" s="71">
        <f t="shared" si="14"/>
        <v>-73913.03815735747</v>
      </c>
      <c r="CS42" s="71">
        <f t="shared" si="14"/>
        <v>-75391.298920504632</v>
      </c>
      <c r="CT42" s="71">
        <f t="shared" si="14"/>
        <v>-76899.124898914728</v>
      </c>
      <c r="CU42" s="71">
        <f t="shared" si="14"/>
        <v>-78437.107396893014</v>
      </c>
      <c r="CV42" s="71">
        <f t="shared" si="14"/>
        <v>-80005.849544830868</v>
      </c>
      <c r="CW42" s="71">
        <f t="shared" si="14"/>
        <v>-81605.966535727493</v>
      </c>
      <c r="CX42" s="71">
        <f t="shared" si="14"/>
        <v>-83238.085866442052</v>
      </c>
      <c r="CY42" s="71">
        <f t="shared" si="14"/>
        <v>-84902.847583770883</v>
      </c>
      <c r="CZ42" s="71">
        <f t="shared" si="14"/>
        <v>-86600.904535446301</v>
      </c>
      <c r="DA42" s="71">
        <f t="shared" si="14"/>
        <v>-88332.922626155225</v>
      </c>
      <c r="DB42" s="71">
        <f t="shared" si="14"/>
        <v>-90099.58107867834</v>
      </c>
      <c r="DC42" s="71">
        <f t="shared" si="14"/>
        <v>-91901.572700251898</v>
      </c>
      <c r="DD42" s="155"/>
    </row>
    <row r="43" spans="1:108">
      <c r="A43" s="41"/>
      <c r="B43" s="27"/>
      <c r="C43" s="27" t="s">
        <v>30</v>
      </c>
      <c r="D43" s="71">
        <f t="shared" si="12"/>
        <v>-2906531.082489471</v>
      </c>
      <c r="AN43" s="71">
        <f t="shared" ref="AN43:BW43" si="15">IPMT($D$15,AN$40,$D$19,$D$20)</f>
        <v>-69355.240000000005</v>
      </c>
      <c r="AO43" s="71">
        <f t="shared" si="15"/>
        <v>-68867.55271691487</v>
      </c>
      <c r="AP43" s="71">
        <f t="shared" si="15"/>
        <v>-68370.111688168021</v>
      </c>
      <c r="AQ43" s="71">
        <f t="shared" si="15"/>
        <v>-67862.72183884625</v>
      </c>
      <c r="AR43" s="71">
        <f t="shared" si="15"/>
        <v>-67345.184192538043</v>
      </c>
      <c r="AS43" s="71">
        <f t="shared" si="15"/>
        <v>-66817.295793303667</v>
      </c>
      <c r="AT43" s="71">
        <f t="shared" si="15"/>
        <v>-66278.8496260846</v>
      </c>
      <c r="AU43" s="71">
        <f t="shared" si="15"/>
        <v>-65729.634535521152</v>
      </c>
      <c r="AV43" s="71">
        <f t="shared" si="15"/>
        <v>-65169.435143146431</v>
      </c>
      <c r="AW43" s="71">
        <f t="shared" si="15"/>
        <v>-64598.031762924227</v>
      </c>
      <c r="AX43" s="71">
        <f t="shared" si="15"/>
        <v>-64015.200315097565</v>
      </c>
      <c r="AY43" s="71">
        <f t="shared" si="15"/>
        <v>-63420.712238314387</v>
      </c>
      <c r="AZ43" s="71">
        <f t="shared" si="15"/>
        <v>-62814.334399995532</v>
      </c>
      <c r="BA43" s="71">
        <f t="shared" si="15"/>
        <v>-62195.829004910302</v>
      </c>
      <c r="BB43" s="71">
        <f t="shared" si="15"/>
        <v>-61564.953501923366</v>
      </c>
      <c r="BC43" s="71">
        <f t="shared" si="15"/>
        <v>-60921.460488876699</v>
      </c>
      <c r="BD43" s="71">
        <f t="shared" si="15"/>
        <v>-60265.097615569088</v>
      </c>
      <c r="BE43" s="71">
        <f t="shared" si="15"/>
        <v>-59595.607484795328</v>
      </c>
      <c r="BF43" s="71">
        <f t="shared" si="15"/>
        <v>-58912.727551406104</v>
      </c>
      <c r="BG43" s="71">
        <f t="shared" si="15"/>
        <v>-58216.190019349073</v>
      </c>
      <c r="BH43" s="71">
        <f t="shared" si="15"/>
        <v>-57505.721736650936</v>
      </c>
      <c r="BI43" s="71">
        <f t="shared" si="15"/>
        <v>-56781.044088298804</v>
      </c>
      <c r="BJ43" s="71">
        <f t="shared" si="15"/>
        <v>-56041.872886979647</v>
      </c>
      <c r="BK43" s="71">
        <f t="shared" si="15"/>
        <v>-55287.918261634106</v>
      </c>
      <c r="BL43" s="71">
        <f t="shared" si="15"/>
        <v>-54518.884543781642</v>
      </c>
      <c r="BM43" s="71">
        <f t="shared" si="15"/>
        <v>-53734.470151572139</v>
      </c>
      <c r="BN43" s="71">
        <f t="shared" si="15"/>
        <v>-52934.367471518446</v>
      </c>
      <c r="BO43" s="71">
        <f t="shared" si="15"/>
        <v>-52118.262737863668</v>
      </c>
      <c r="BP43" s="71">
        <f t="shared" si="15"/>
        <v>-51285.835909535803</v>
      </c>
      <c r="BQ43" s="71">
        <f t="shared" si="15"/>
        <v>-50436.760544641395</v>
      </c>
      <c r="BR43" s="71">
        <f t="shared" si="15"/>
        <v>-49570.703672449068</v>
      </c>
      <c r="BS43" s="71">
        <f t="shared" si="15"/>
        <v>-48687.325662812917</v>
      </c>
      <c r="BT43" s="71">
        <f t="shared" si="15"/>
        <v>-47786.280092984038</v>
      </c>
      <c r="BU43" s="71">
        <f t="shared" si="15"/>
        <v>-46867.213611758583</v>
      </c>
      <c r="BV43" s="71">
        <f t="shared" si="15"/>
        <v>-45929.765800908608</v>
      </c>
      <c r="BW43" s="71">
        <f t="shared" si="15"/>
        <v>-44973.569033841653</v>
      </c>
      <c r="BX43" s="71">
        <f t="shared" ref="BX43:DC43" si="16">IPMT($D$15,BX$40,$D$19,$D$20)</f>
        <v>-43998.248331433337</v>
      </c>
      <c r="BY43" s="71">
        <f t="shared" si="16"/>
        <v>-43003.421214976865</v>
      </c>
      <c r="BZ43" s="71">
        <f t="shared" si="16"/>
        <v>-41988.697556191262</v>
      </c>
      <c r="CA43" s="71">
        <f t="shared" si="16"/>
        <v>-40953.679424229951</v>
      </c>
      <c r="CB43" s="71">
        <f t="shared" si="16"/>
        <v>-39897.960929629415</v>
      </c>
      <c r="CC43" s="71">
        <f t="shared" si="16"/>
        <v>-38821.128065136858</v>
      </c>
      <c r="CD43" s="71">
        <f t="shared" si="16"/>
        <v>-37722.758543354459</v>
      </c>
      <c r="CE43" s="71">
        <f t="shared" si="16"/>
        <v>-36602.421631136407</v>
      </c>
      <c r="CF43" s="71">
        <f t="shared" si="16"/>
        <v>-35459.677980674001</v>
      </c>
      <c r="CG43" s="71">
        <f t="shared" si="16"/>
        <v>-34294.07945720233</v>
      </c>
      <c r="CH43" s="71">
        <f t="shared" si="16"/>
        <v>-33105.168963261247</v>
      </c>
      <c r="CI43" s="71">
        <f t="shared" si="16"/>
        <v>-31892.480259441334</v>
      </c>
      <c r="CJ43" s="71">
        <f t="shared" si="16"/>
        <v>-30655.537781545019</v>
      </c>
      <c r="CK43" s="71">
        <f t="shared" si="16"/>
        <v>-29393.856454090779</v>
      </c>
      <c r="CL43" s="71">
        <f t="shared" si="16"/>
        <v>-28106.941500087461</v>
      </c>
      <c r="CM43" s="71">
        <f t="shared" si="16"/>
        <v>-26794.288247004071</v>
      </c>
      <c r="CN43" s="71">
        <f t="shared" si="16"/>
        <v>-25455.381928859017</v>
      </c>
      <c r="CO43" s="71">
        <f t="shared" si="16"/>
        <v>-24089.697484351058</v>
      </c>
      <c r="CP43" s="71">
        <f t="shared" si="16"/>
        <v>-22696.699350952938</v>
      </c>
      <c r="CQ43" s="71">
        <f t="shared" si="16"/>
        <v>-21275.841254886858</v>
      </c>
      <c r="CR43" s="71">
        <f t="shared" si="16"/>
        <v>-19826.565996899462</v>
      </c>
      <c r="CS43" s="71">
        <f t="shared" si="16"/>
        <v>-18348.305233752308</v>
      </c>
      <c r="CT43" s="71">
        <f t="shared" si="16"/>
        <v>-16840.479255342216</v>
      </c>
      <c r="CU43" s="71">
        <f t="shared" si="16"/>
        <v>-15302.496757363922</v>
      </c>
      <c r="CV43" s="71">
        <f t="shared" si="16"/>
        <v>-13733.75460942606</v>
      </c>
      <c r="CW43" s="71">
        <f t="shared" si="16"/>
        <v>-12133.637618529445</v>
      </c>
      <c r="CX43" s="71">
        <f t="shared" si="16"/>
        <v>-10501.518287814895</v>
      </c>
      <c r="CY43" s="71">
        <f t="shared" si="16"/>
        <v>-8836.7565704860517</v>
      </c>
      <c r="CZ43" s="71">
        <f t="shared" si="16"/>
        <v>-7138.699618810635</v>
      </c>
      <c r="DA43" s="71">
        <f t="shared" si="16"/>
        <v>-5406.6815281017089</v>
      </c>
      <c r="DB43" s="71">
        <f t="shared" si="16"/>
        <v>-3640.0230755786051</v>
      </c>
      <c r="DC43" s="71">
        <f t="shared" si="16"/>
        <v>-1838.0314540050381</v>
      </c>
      <c r="DD43" s="155"/>
    </row>
    <row r="44" spans="1:108">
      <c r="A44" s="41"/>
      <c r="B44" s="33" t="s">
        <v>31</v>
      </c>
      <c r="C44" s="42"/>
      <c r="D44" s="71"/>
      <c r="AM44" s="130">
        <f>D20</f>
        <v>3467762</v>
      </c>
      <c r="AN44" s="71">
        <f>AM44+AN42</f>
        <v>3443377.6358457431</v>
      </c>
      <c r="AO44" s="71">
        <f t="shared" ref="AO44:BW44" si="17">AN44+AO42</f>
        <v>3418505.584408401</v>
      </c>
      <c r="AP44" s="71">
        <f t="shared" si="17"/>
        <v>3393136.0919423122</v>
      </c>
      <c r="AQ44" s="71">
        <f t="shared" si="17"/>
        <v>3367259.2096269014</v>
      </c>
      <c r="AR44" s="71">
        <f t="shared" si="17"/>
        <v>3340864.7896651826</v>
      </c>
      <c r="AS44" s="71">
        <f t="shared" si="17"/>
        <v>3313942.4813042292</v>
      </c>
      <c r="AT44" s="71">
        <f t="shared" si="17"/>
        <v>3286481.7267760569</v>
      </c>
      <c r="AU44" s="71">
        <f t="shared" si="17"/>
        <v>3258471.7571573211</v>
      </c>
      <c r="AV44" s="71">
        <f t="shared" si="17"/>
        <v>3229901.5881462106</v>
      </c>
      <c r="AW44" s="71">
        <f t="shared" si="17"/>
        <v>3200760.0157548781</v>
      </c>
      <c r="AX44" s="71">
        <f t="shared" si="17"/>
        <v>3171035.6119157188</v>
      </c>
      <c r="AY44" s="71">
        <f t="shared" si="17"/>
        <v>3140716.7199997762</v>
      </c>
      <c r="AZ44" s="71">
        <f t="shared" si="17"/>
        <v>3109791.450245515</v>
      </c>
      <c r="BA44" s="71">
        <f t="shared" si="17"/>
        <v>3078247.6750961682</v>
      </c>
      <c r="BB44" s="71">
        <f t="shared" si="17"/>
        <v>3046073.0244438346</v>
      </c>
      <c r="BC44" s="71">
        <f t="shared" si="17"/>
        <v>3013254.8807784542</v>
      </c>
      <c r="BD44" s="71">
        <f t="shared" si="17"/>
        <v>2979780.3742397665</v>
      </c>
      <c r="BE44" s="71">
        <f t="shared" si="17"/>
        <v>2945636.377570305</v>
      </c>
      <c r="BF44" s="71">
        <f t="shared" si="17"/>
        <v>2910809.5009674542</v>
      </c>
      <c r="BG44" s="71">
        <f t="shared" si="17"/>
        <v>2875286.0868325462</v>
      </c>
      <c r="BH44" s="71">
        <f t="shared" si="17"/>
        <v>2839052.20441494</v>
      </c>
      <c r="BI44" s="71">
        <f t="shared" si="17"/>
        <v>2802093.6443489818</v>
      </c>
      <c r="BJ44" s="71">
        <f t="shared" si="17"/>
        <v>2764395.9130817046</v>
      </c>
      <c r="BK44" s="71">
        <f t="shared" si="17"/>
        <v>2725944.2271890817</v>
      </c>
      <c r="BL44" s="71">
        <f t="shared" si="17"/>
        <v>2686723.5075786063</v>
      </c>
      <c r="BM44" s="71">
        <f t="shared" si="17"/>
        <v>2646718.3735759216</v>
      </c>
      <c r="BN44" s="71">
        <f t="shared" si="17"/>
        <v>2605913.136893183</v>
      </c>
      <c r="BO44" s="71">
        <f t="shared" si="17"/>
        <v>2564291.7954767896</v>
      </c>
      <c r="BP44" s="71">
        <f t="shared" si="17"/>
        <v>2521838.0272320686</v>
      </c>
      <c r="BQ44" s="71">
        <f t="shared" si="17"/>
        <v>2478535.1836224529</v>
      </c>
      <c r="BR44" s="71">
        <f t="shared" si="17"/>
        <v>2434366.2831406449</v>
      </c>
      <c r="BS44" s="71">
        <f t="shared" si="17"/>
        <v>2389314.0046492009</v>
      </c>
      <c r="BT44" s="71">
        <f t="shared" si="17"/>
        <v>2343360.6805879278</v>
      </c>
      <c r="BU44" s="71">
        <f t="shared" si="17"/>
        <v>2296488.2900454295</v>
      </c>
      <c r="BV44" s="71">
        <f t="shared" si="17"/>
        <v>2248678.4516920811</v>
      </c>
      <c r="BW44" s="71">
        <f t="shared" si="17"/>
        <v>2199912.4165716656</v>
      </c>
      <c r="BX44" s="71">
        <f t="shared" ref="BX44" si="18">BW44+BX42</f>
        <v>2150171.0607488421</v>
      </c>
      <c r="BY44" s="71">
        <f t="shared" ref="BY44" si="19">BX44+BY42</f>
        <v>2099434.8778095618</v>
      </c>
      <c r="BZ44" s="71">
        <f t="shared" ref="BZ44" si="20">BY44+BZ42</f>
        <v>2047683.971211496</v>
      </c>
      <c r="CA44" s="71">
        <f t="shared" ref="CA44" si="21">BZ44+CA42</f>
        <v>1994898.0464814689</v>
      </c>
      <c r="CB44" s="71">
        <f t="shared" ref="CB44" si="22">CA44+CB42</f>
        <v>1941056.4032568415</v>
      </c>
      <c r="CC44" s="71">
        <f t="shared" ref="CC44" si="23">CB44+CC42</f>
        <v>1886137.9271677213</v>
      </c>
      <c r="CD44" s="71">
        <f t="shared" ref="CD44" si="24">CC44+CD42</f>
        <v>1830121.0815568189</v>
      </c>
      <c r="CE44" s="71">
        <f t="shared" ref="CE44" si="25">CD44+CE42</f>
        <v>1772983.8990336985</v>
      </c>
      <c r="CF44" s="71">
        <f t="shared" ref="CF44" si="26">CE44+CF42</f>
        <v>1714703.9728601156</v>
      </c>
      <c r="CG44" s="71">
        <f t="shared" ref="CG44" si="27">CF44+CG42</f>
        <v>1655258.4481630609</v>
      </c>
      <c r="CH44" s="71">
        <f t="shared" ref="CH44" si="28">CG44+CH42</f>
        <v>1594624.0129720652</v>
      </c>
      <c r="CI44" s="71">
        <f t="shared" ref="CI44" si="29">CH44+CI42</f>
        <v>1532776.8890772497</v>
      </c>
      <c r="CJ44" s="71">
        <f t="shared" ref="CJ44" si="30">CI44+CJ42</f>
        <v>1469692.8227045378</v>
      </c>
      <c r="CK44" s="71">
        <f t="shared" ref="CK44" si="31">CJ44+CK42</f>
        <v>1405347.0750043716</v>
      </c>
      <c r="CL44" s="71">
        <f t="shared" ref="CL44" si="32">CK44+CL42</f>
        <v>1339714.4123502022</v>
      </c>
      <c r="CM44" s="71">
        <f t="shared" ref="CM44" si="33">CL44+CM42</f>
        <v>1272769.0964429493</v>
      </c>
      <c r="CN44" s="71">
        <f t="shared" ref="CN44" si="34">CM44+CN42</f>
        <v>1204484.8742175514</v>
      </c>
      <c r="CO44" s="71">
        <f t="shared" ref="CO44" si="35">CN44+CO42</f>
        <v>1134834.9675476456</v>
      </c>
      <c r="CP44" s="71">
        <f t="shared" ref="CP44" si="36">CO44+CP42</f>
        <v>1063792.0627443416</v>
      </c>
      <c r="CQ44" s="71">
        <f t="shared" ref="CQ44" si="37">CP44+CQ42</f>
        <v>991328.29984497151</v>
      </c>
      <c r="CR44" s="71">
        <f t="shared" ref="CR44" si="38">CQ44+CR42</f>
        <v>917415.26168761402</v>
      </c>
      <c r="CS44" s="71">
        <f t="shared" ref="CS44" si="39">CR44+CS42</f>
        <v>842023.96276710939</v>
      </c>
      <c r="CT44" s="71">
        <f t="shared" ref="CT44" si="40">CS44+CT42</f>
        <v>765124.83786819468</v>
      </c>
      <c r="CU44" s="71">
        <f t="shared" ref="CU44" si="41">CT44+CU42</f>
        <v>686687.73047130171</v>
      </c>
      <c r="CV44" s="71">
        <f t="shared" ref="CV44" si="42">CU44+CV42</f>
        <v>606681.88092647085</v>
      </c>
      <c r="CW44" s="71">
        <f t="shared" ref="CW44" si="43">CV44+CW42</f>
        <v>525075.91439074336</v>
      </c>
      <c r="CX44" s="71">
        <f t="shared" ref="CX44" si="44">CW44+CX42</f>
        <v>441837.82852430129</v>
      </c>
      <c r="CY44" s="71">
        <f t="shared" ref="CY44" si="45">CX44+CY42</f>
        <v>356934.98094053043</v>
      </c>
      <c r="CZ44" s="71">
        <f t="shared" ref="CZ44" si="46">CY44+CZ42</f>
        <v>270334.07640508411</v>
      </c>
      <c r="DA44" s="71">
        <f t="shared" ref="DA44" si="47">CZ44+DA42</f>
        <v>182001.15377892889</v>
      </c>
      <c r="DB44" s="71">
        <f t="shared" ref="DB44" si="48">DA44+DB42</f>
        <v>91901.572700250545</v>
      </c>
      <c r="DC44" s="71">
        <f t="shared" ref="DC44" si="49">DB44+DC42</f>
        <v>-1.3533281162381172E-9</v>
      </c>
    </row>
    <row r="45" spans="1:108" ht="21">
      <c r="A45" s="43"/>
      <c r="B45" s="26" t="s">
        <v>32</v>
      </c>
      <c r="C45" s="27"/>
      <c r="D45" s="71">
        <f t="shared" si="12"/>
        <v>-1207162.8032811002</v>
      </c>
      <c r="AN45" s="71">
        <f>AN41*AN26</f>
        <v>-35379.80843155468</v>
      </c>
      <c r="AO45" s="71">
        <f t="shared" ref="AO45:CZ45" si="50">AO41*AO26</f>
        <v>-34548.907213080107</v>
      </c>
      <c r="AP45" s="71">
        <f t="shared" si="50"/>
        <v>-33737.519860436601</v>
      </c>
      <c r="AQ45" s="71">
        <f t="shared" si="50"/>
        <v>-32945.188086945571</v>
      </c>
      <c r="AR45" s="71">
        <f t="shared" si="50"/>
        <v>-32171.464368874153</v>
      </c>
      <c r="AS45" s="71">
        <f t="shared" si="50"/>
        <v>-31415.911692665552</v>
      </c>
      <c r="AT45" s="71">
        <f t="shared" si="50"/>
        <v>-30678.103308105616</v>
      </c>
      <c r="AU45" s="71">
        <f t="shared" si="50"/>
        <v>-29957.622487286375</v>
      </c>
      <c r="AV45" s="71">
        <f t="shared" si="50"/>
        <v>-29254.062289230387</v>
      </c>
      <c r="AW45" s="71">
        <f t="shared" si="50"/>
        <v>-28567.025330042859</v>
      </c>
      <c r="AX45" s="71">
        <f t="shared" si="50"/>
        <v>-27896.123558461859</v>
      </c>
      <c r="AY45" s="71">
        <f t="shared" si="50"/>
        <v>-27240.978036679709</v>
      </c>
      <c r="AZ45" s="71">
        <f t="shared" si="50"/>
        <v>-26601.218726311912</v>
      </c>
      <c r="BA45" s="71">
        <f t="shared" si="50"/>
        <v>-25976.484279392524</v>
      </c>
      <c r="BB45" s="71">
        <f t="shared" si="50"/>
        <v>-25366.421834278139</v>
      </c>
      <c r="BC45" s="71">
        <f t="shared" si="50"/>
        <v>-24770.686816345038</v>
      </c>
      <c r="BD45" s="71">
        <f t="shared" si="50"/>
        <v>-24188.942743367064</v>
      </c>
      <c r="BE45" s="71">
        <f t="shared" si="50"/>
        <v>-23620.861035464157</v>
      </c>
      <c r="BF45" s="71">
        <f t="shared" si="50"/>
        <v>-23066.120829514337</v>
      </c>
      <c r="BG45" s="71">
        <f t="shared" si="50"/>
        <v>-22524.408797924258</v>
      </c>
      <c r="BH45" s="71">
        <f t="shared" si="50"/>
        <v>-21995.418971655934</v>
      </c>
      <c r="BI45" s="71">
        <f t="shared" si="50"/>
        <v>-21478.852567409733</v>
      </c>
      <c r="BJ45" s="71">
        <f t="shared" si="50"/>
        <v>-20974.417818866012</v>
      </c>
      <c r="BK45" s="71">
        <f t="shared" si="50"/>
        <v>-20481.829811890053</v>
      </c>
      <c r="BL45" s="71">
        <f t="shared" si="50"/>
        <v>-20000.810323607297</v>
      </c>
      <c r="BM45" s="71">
        <f t="shared" si="50"/>
        <v>-19531.087665257852</v>
      </c>
      <c r="BN45" s="71">
        <f t="shared" si="50"/>
        <v>-19072.396528741614</v>
      </c>
      <c r="BO45" s="71">
        <f t="shared" si="50"/>
        <v>-18624.477836767361</v>
      </c>
      <c r="BP45" s="71">
        <f t="shared" si="50"/>
        <v>-18187.078596521031</v>
      </c>
      <c r="BQ45" s="71">
        <f t="shared" si="50"/>
        <v>-17759.951756770701</v>
      </c>
      <c r="BR45" s="71">
        <f t="shared" si="50"/>
        <v>-17342.856068327426</v>
      </c>
      <c r="BS45" s="71">
        <f t="shared" si="50"/>
        <v>-16935.555947783239</v>
      </c>
      <c r="BT45" s="71">
        <f t="shared" si="50"/>
        <v>-16537.821344449236</v>
      </c>
      <c r="BU45" s="71">
        <f t="shared" si="50"/>
        <v>-16149.42761041867</v>
      </c>
      <c r="BV45" s="71">
        <f t="shared" si="50"/>
        <v>-15770.155373681626</v>
      </c>
      <c r="BW45" s="71">
        <f t="shared" si="50"/>
        <v>-15399.790414219646</v>
      </c>
      <c r="BX45" s="71">
        <f t="shared" si="50"/>
        <v>-15038.12354301025</v>
      </c>
      <c r="BY45" s="71">
        <f t="shared" si="50"/>
        <v>-14684.950483873105</v>
      </c>
      <c r="BZ45" s="71">
        <f t="shared" si="50"/>
        <v>-14340.071758091019</v>
      </c>
      <c r="CA45" s="71">
        <f t="shared" si="50"/>
        <v>-14003.292571740654</v>
      </c>
      <c r="CB45" s="71">
        <f t="shared" si="50"/>
        <v>-13674.422705669309</v>
      </c>
      <c r="CC45" s="71">
        <f t="shared" si="50"/>
        <v>-13353.276408055575</v>
      </c>
      <c r="CD45" s="71">
        <f t="shared" si="50"/>
        <v>-13039.672289493265</v>
      </c>
      <c r="CE45" s="71">
        <f t="shared" si="50"/>
        <v>-12733.433220539295</v>
      </c>
      <c r="CF45" s="71">
        <f t="shared" si="50"/>
        <v>-12434.38623166769</v>
      </c>
      <c r="CG45" s="71">
        <f t="shared" si="50"/>
        <v>-12142.362415573154</v>
      </c>
      <c r="CH45" s="71">
        <f t="shared" si="50"/>
        <v>-11857.19683176911</v>
      </c>
      <c r="CI45" s="71">
        <f t="shared" si="50"/>
        <v>-11578.72841342621</v>
      </c>
      <c r="CJ45" s="71">
        <f t="shared" si="50"/>
        <v>-11306.79987639882</v>
      </c>
      <c r="CK45" s="71">
        <f t="shared" si="50"/>
        <v>-11041.257630387991</v>
      </c>
      <c r="CL45" s="71">
        <f t="shared" si="50"/>
        <v>-10781.9516921908</v>
      </c>
      <c r="CM45" s="71">
        <f t="shared" si="50"/>
        <v>-10528.735600987064</v>
      </c>
      <c r="CN45" s="71">
        <f t="shared" si="50"/>
        <v>-10281.466335615509</v>
      </c>
      <c r="CO45" s="71">
        <f t="shared" si="50"/>
        <v>-10040.004233792795</v>
      </c>
      <c r="CP45" s="71">
        <f t="shared" si="50"/>
        <v>-9804.212913229625</v>
      </c>
      <c r="CQ45" s="71">
        <f t="shared" si="50"/>
        <v>-9573.9591945995071</v>
      </c>
      <c r="CR45" s="71">
        <f t="shared" si="50"/>
        <v>-9349.1130263165905</v>
      </c>
      <c r="CS45" s="71">
        <f t="shared" si="50"/>
        <v>-9129.5474110801169</v>
      </c>
      <c r="CT45" s="71">
        <f t="shared" si="50"/>
        <v>-8915.1383341439541</v>
      </c>
      <c r="CU45" s="71">
        <f t="shared" si="50"/>
        <v>-8705.7646932707939</v>
      </c>
      <c r="CV45" s="71">
        <f t="shared" si="50"/>
        <v>-8501.308230331324</v>
      </c>
      <c r="CW45" s="71">
        <f t="shared" si="50"/>
        <v>-8301.6534645098654</v>
      </c>
      <c r="CX45" s="71">
        <f t="shared" si="50"/>
        <v>-8106.6876270786252</v>
      </c>
      <c r="CY45" s="71">
        <f t="shared" si="50"/>
        <v>-7916.3005977038465</v>
      </c>
      <c r="CZ45" s="71">
        <f t="shared" si="50"/>
        <v>-7730.3848422477877</v>
      </c>
      <c r="DA45" s="71">
        <f t="shared" ref="DA45:DC45" si="51">DA41*DA26</f>
        <v>-7548.8353520314322</v>
      </c>
      <c r="DB45" s="71">
        <f t="shared" si="51"/>
        <v>-7371.5495845236392</v>
      </c>
      <c r="DC45" s="71">
        <f t="shared" si="51"/>
        <v>-7198.4274054232128</v>
      </c>
    </row>
    <row r="46" spans="1:108">
      <c r="A46" s="27"/>
      <c r="B46" s="27"/>
      <c r="C46" s="27" t="s">
        <v>29</v>
      </c>
      <c r="D46" s="71">
        <f t="shared" si="12"/>
        <v>-549683.13488702185</v>
      </c>
      <c r="AN46" s="71">
        <f>AN42*AN26</f>
        <v>-9203.3046254729798</v>
      </c>
      <c r="AO46" s="71">
        <f t="shared" ref="AO46:CZ46" si="52">AO42*AO26</f>
        <v>-9166.9066139177194</v>
      </c>
      <c r="AP46" s="71">
        <f t="shared" si="52"/>
        <v>-9130.6525523129458</v>
      </c>
      <c r="AQ46" s="71">
        <f t="shared" si="52"/>
        <v>-9094.5418713531617</v>
      </c>
      <c r="AR46" s="71">
        <f t="shared" si="52"/>
        <v>-9058.5740039844022</v>
      </c>
      <c r="AS46" s="71">
        <f t="shared" si="52"/>
        <v>-9022.7483853953345</v>
      </c>
      <c r="AT46" s="71">
        <f t="shared" si="52"/>
        <v>-8987.0644530083919</v>
      </c>
      <c r="AU46" s="71">
        <f t="shared" si="52"/>
        <v>-8951.5216464709301</v>
      </c>
      <c r="AV46" s="71">
        <f t="shared" si="52"/>
        <v>-8916.1194076464544</v>
      </c>
      <c r="AW46" s="71">
        <f t="shared" si="52"/>
        <v>-8880.8571806058135</v>
      </c>
      <c r="AX46" s="71">
        <f t="shared" si="52"/>
        <v>-8845.7344116185086</v>
      </c>
      <c r="AY46" s="71">
        <f t="shared" si="52"/>
        <v>-8810.7505491439624</v>
      </c>
      <c r="AZ46" s="71">
        <f t="shared" si="52"/>
        <v>-8775.9050438229042</v>
      </c>
      <c r="BA46" s="71">
        <f t="shared" si="52"/>
        <v>-8741.1973484686914</v>
      </c>
      <c r="BB46" s="71">
        <f t="shared" si="52"/>
        <v>-8706.6269180587551</v>
      </c>
      <c r="BC46" s="71">
        <f t="shared" si="52"/>
        <v>-8672.193209726016</v>
      </c>
      <c r="BD46" s="71">
        <f t="shared" si="52"/>
        <v>-8637.8956827503916</v>
      </c>
      <c r="BE46" s="71">
        <f t="shared" si="52"/>
        <v>-8603.7337985502672</v>
      </c>
      <c r="BF46" s="71">
        <f t="shared" si="52"/>
        <v>-8569.7070206740609</v>
      </c>
      <c r="BG46" s="71">
        <f t="shared" si="52"/>
        <v>-8535.8148147918</v>
      </c>
      <c r="BH46" s="71">
        <f t="shared" si="52"/>
        <v>-8502.056648686721</v>
      </c>
      <c r="BI46" s="71">
        <f t="shared" si="52"/>
        <v>-8468.4319922469167</v>
      </c>
      <c r="BJ46" s="71">
        <f t="shared" si="52"/>
        <v>-8434.940317457018</v>
      </c>
      <c r="BK46" s="71">
        <f t="shared" si="52"/>
        <v>-8401.5810983898791</v>
      </c>
      <c r="BL46" s="71">
        <f t="shared" si="52"/>
        <v>-8368.3538111983562</v>
      </c>
      <c r="BM46" s="71">
        <f t="shared" si="52"/>
        <v>-8335.2579341070523</v>
      </c>
      <c r="BN46" s="71">
        <f t="shared" si="52"/>
        <v>-8302.292947404123</v>
      </c>
      <c r="BO46" s="71">
        <f t="shared" si="52"/>
        <v>-8269.4583334331383</v>
      </c>
      <c r="BP46" s="71">
        <f t="shared" si="52"/>
        <v>-8236.7535765849352</v>
      </c>
      <c r="BQ46" s="71">
        <f t="shared" si="52"/>
        <v>-8204.1781632895218</v>
      </c>
      <c r="BR46" s="71">
        <f t="shared" si="52"/>
        <v>-8171.7315820080203</v>
      </c>
      <c r="BS46" s="71">
        <f t="shared" si="52"/>
        <v>-8139.4133232246286</v>
      </c>
      <c r="BT46" s="71">
        <f t="shared" si="52"/>
        <v>-8107.2228794386219</v>
      </c>
      <c r="BU46" s="71">
        <f t="shared" si="52"/>
        <v>-8075.1597451563857</v>
      </c>
      <c r="BV46" s="71">
        <f t="shared" si="52"/>
        <v>-8043.2234168834648</v>
      </c>
      <c r="BW46" s="71">
        <f t="shared" si="52"/>
        <v>-8011.4133931166798</v>
      </c>
      <c r="BX46" s="71">
        <f t="shared" si="52"/>
        <v>-7979.7291743362284</v>
      </c>
      <c r="BY46" s="71">
        <f t="shared" si="52"/>
        <v>-7948.1702629978563</v>
      </c>
      <c r="BZ46" s="71">
        <f t="shared" si="52"/>
        <v>-7916.7361635250363</v>
      </c>
      <c r="CA46" s="71">
        <f t="shared" si="52"/>
        <v>-7885.4263823011925</v>
      </c>
      <c r="CB46" s="71">
        <f t="shared" si="52"/>
        <v>-7854.2404276619482</v>
      </c>
      <c r="CC46" s="71">
        <f t="shared" si="52"/>
        <v>-7823.1778098873974</v>
      </c>
      <c r="CD46" s="71">
        <f t="shared" si="52"/>
        <v>-7792.2380411944196</v>
      </c>
      <c r="CE46" s="71">
        <f t="shared" si="52"/>
        <v>-7761.4206357290241</v>
      </c>
      <c r="CF46" s="71">
        <f t="shared" si="52"/>
        <v>-7730.7251095587199</v>
      </c>
      <c r="CG46" s="71">
        <f t="shared" si="52"/>
        <v>-7700.1509806649037</v>
      </c>
      <c r="CH46" s="71">
        <f t="shared" si="52"/>
        <v>-7669.6977689353089</v>
      </c>
      <c r="CI46" s="71">
        <f t="shared" si="52"/>
        <v>-7639.3649961564515</v>
      </c>
      <c r="CJ46" s="71">
        <f t="shared" si="52"/>
        <v>-7609.1521860061339</v>
      </c>
      <c r="CK46" s="71">
        <f t="shared" si="52"/>
        <v>-7579.0588640459537</v>
      </c>
      <c r="CL46" s="71">
        <f t="shared" si="52"/>
        <v>-7549.0845577138525</v>
      </c>
      <c r="CM46" s="71">
        <f t="shared" si="52"/>
        <v>-7519.2287963167155</v>
      </c>
      <c r="CN46" s="71">
        <f t="shared" si="52"/>
        <v>-7489.4911110229477</v>
      </c>
      <c r="CO46" s="71">
        <f t="shared" si="52"/>
        <v>-7459.8710348551431</v>
      </c>
      <c r="CP46" s="71">
        <f t="shared" si="52"/>
        <v>-7430.3681026827271</v>
      </c>
      <c r="CQ46" s="71">
        <f t="shared" si="52"/>
        <v>-7400.9818512146676</v>
      </c>
      <c r="CR46" s="71">
        <f t="shared" si="52"/>
        <v>-7371.7118189921966</v>
      </c>
      <c r="CS46" s="71">
        <f t="shared" si="52"/>
        <v>-7342.5575463815685</v>
      </c>
      <c r="CT46" s="71">
        <f t="shared" si="52"/>
        <v>-7313.5185755668163</v>
      </c>
      <c r="CU46" s="71">
        <f t="shared" si="52"/>
        <v>-7284.5944505426041</v>
      </c>
      <c r="CV46" s="71">
        <f t="shared" si="52"/>
        <v>-7255.7847171070307</v>
      </c>
      <c r="CW46" s="71">
        <f t="shared" si="52"/>
        <v>-7227.0889228545238</v>
      </c>
      <c r="CX46" s="71">
        <f t="shared" si="52"/>
        <v>-7198.5066171687085</v>
      </c>
      <c r="CY46" s="71">
        <f t="shared" si="52"/>
        <v>-7170.0373512153519</v>
      </c>
      <c r="CZ46" s="71">
        <f t="shared" si="52"/>
        <v>-7141.6806779353146</v>
      </c>
      <c r="DA46" s="71">
        <f t="shared" ref="DA46:DC46" si="53">DA42*DA26</f>
        <v>-7113.4361520375187</v>
      </c>
      <c r="DB46" s="71">
        <f t="shared" si="53"/>
        <v>-7085.3033299919643</v>
      </c>
      <c r="DC46" s="71">
        <f t="shared" si="53"/>
        <v>-7057.281770022757</v>
      </c>
    </row>
    <row r="47" spans="1:108">
      <c r="A47" s="27"/>
      <c r="B47" s="27"/>
      <c r="C47" s="27" t="s">
        <v>30</v>
      </c>
      <c r="D47" s="71">
        <f t="shared" si="12"/>
        <v>-657479.66839407803</v>
      </c>
      <c r="AN47" s="71">
        <f>AN43*AN26</f>
        <v>-26176.503806081699</v>
      </c>
      <c r="AO47" s="71">
        <f t="shared" ref="AO47:CZ47" si="54">AO43*AO26</f>
        <v>-25382.000599162388</v>
      </c>
      <c r="AP47" s="71">
        <f t="shared" si="54"/>
        <v>-24606.867308123652</v>
      </c>
      <c r="AQ47" s="71">
        <f t="shared" si="54"/>
        <v>-23850.646215592405</v>
      </c>
      <c r="AR47" s="71">
        <f t="shared" si="54"/>
        <v>-23112.89036488975</v>
      </c>
      <c r="AS47" s="71">
        <f t="shared" si="54"/>
        <v>-22393.163307270217</v>
      </c>
      <c r="AT47" s="71">
        <f t="shared" si="54"/>
        <v>-21691.038855097227</v>
      </c>
      <c r="AU47" s="71">
        <f t="shared" si="54"/>
        <v>-21006.100840815441</v>
      </c>
      <c r="AV47" s="71">
        <f t="shared" si="54"/>
        <v>-20337.942881583931</v>
      </c>
      <c r="AW47" s="71">
        <f t="shared" si="54"/>
        <v>-19686.168149437046</v>
      </c>
      <c r="AX47" s="71">
        <f t="shared" si="54"/>
        <v>-19050.389146843347</v>
      </c>
      <c r="AY47" s="71">
        <f t="shared" si="54"/>
        <v>-18430.227487535743</v>
      </c>
      <c r="AZ47" s="71">
        <f t="shared" si="54"/>
        <v>-17825.313682489006</v>
      </c>
      <c r="BA47" s="71">
        <f t="shared" si="54"/>
        <v>-17235.28693092383</v>
      </c>
      <c r="BB47" s="71">
        <f t="shared" si="54"/>
        <v>-16659.794916219384</v>
      </c>
      <c r="BC47" s="71">
        <f t="shared" si="54"/>
        <v>-16098.49360661902</v>
      </c>
      <c r="BD47" s="71">
        <f t="shared" si="54"/>
        <v>-15551.047060616671</v>
      </c>
      <c r="BE47" s="71">
        <f t="shared" si="54"/>
        <v>-15017.127236913886</v>
      </c>
      <c r="BF47" s="71">
        <f t="shared" si="54"/>
        <v>-14496.413808840272</v>
      </c>
      <c r="BG47" s="71">
        <f t="shared" si="54"/>
        <v>-13988.593983132454</v>
      </c>
      <c r="BH47" s="71">
        <f t="shared" si="54"/>
        <v>-13493.362322969215</v>
      </c>
      <c r="BI47" s="71">
        <f t="shared" si="54"/>
        <v>-13010.420575162812</v>
      </c>
      <c r="BJ47" s="71">
        <f t="shared" si="54"/>
        <v>-12539.477501408994</v>
      </c>
      <c r="BK47" s="71">
        <f t="shared" si="54"/>
        <v>-12080.248713500172</v>
      </c>
      <c r="BL47" s="71">
        <f t="shared" si="54"/>
        <v>-11632.456512408939</v>
      </c>
      <c r="BM47" s="71">
        <f t="shared" si="54"/>
        <v>-11195.829731150799</v>
      </c>
      <c r="BN47" s="71">
        <f t="shared" si="54"/>
        <v>-10770.103581337491</v>
      </c>
      <c r="BO47" s="71">
        <f t="shared" si="54"/>
        <v>-10355.019503334221</v>
      </c>
      <c r="BP47" s="71">
        <f t="shared" si="54"/>
        <v>-9950.3250199360937</v>
      </c>
      <c r="BQ47" s="71">
        <f t="shared" si="54"/>
        <v>-9555.773593481179</v>
      </c>
      <c r="BR47" s="71">
        <f t="shared" si="54"/>
        <v>-9171.1244863194042</v>
      </c>
      <c r="BS47" s="71">
        <f t="shared" si="54"/>
        <v>-8796.1426245586099</v>
      </c>
      <c r="BT47" s="71">
        <f t="shared" si="54"/>
        <v>-8430.5984650106129</v>
      </c>
      <c r="BU47" s="71">
        <f t="shared" si="54"/>
        <v>-8074.2678652622844</v>
      </c>
      <c r="BV47" s="71">
        <f t="shared" si="54"/>
        <v>-7726.9319567981593</v>
      </c>
      <c r="BW47" s="71">
        <f t="shared" si="54"/>
        <v>-7388.377021102966</v>
      </c>
      <c r="BX47" s="71">
        <f t="shared" si="54"/>
        <v>-7058.3943686740213</v>
      </c>
      <c r="BY47" s="71">
        <f t="shared" si="54"/>
        <v>-6736.7802208752482</v>
      </c>
      <c r="BZ47" s="71">
        <f t="shared" si="54"/>
        <v>-6423.3355945659805</v>
      </c>
      <c r="CA47" s="71">
        <f t="shared" si="54"/>
        <v>-6117.8661894394609</v>
      </c>
      <c r="CB47" s="71">
        <f t="shared" si="54"/>
        <v>-5820.1822780073608</v>
      </c>
      <c r="CC47" s="71">
        <f t="shared" si="54"/>
        <v>-5530.0985981681779</v>
      </c>
      <c r="CD47" s="71">
        <f t="shared" si="54"/>
        <v>-5247.4342482988432</v>
      </c>
      <c r="CE47" s="71">
        <f t="shared" si="54"/>
        <v>-4972.012584810268</v>
      </c>
      <c r="CF47" s="71">
        <f t="shared" si="54"/>
        <v>-4703.6611221089688</v>
      </c>
      <c r="CG47" s="71">
        <f t="shared" si="54"/>
        <v>-4442.2114349082485</v>
      </c>
      <c r="CH47" s="71">
        <f t="shared" si="54"/>
        <v>-4187.4990628338001</v>
      </c>
      <c r="CI47" s="71">
        <f t="shared" si="54"/>
        <v>-3939.3634172697562</v>
      </c>
      <c r="CJ47" s="71">
        <f t="shared" si="54"/>
        <v>-3697.6476903926832</v>
      </c>
      <c r="CK47" s="71">
        <f t="shared" si="54"/>
        <v>-3462.198766342035</v>
      </c>
      <c r="CL47" s="71">
        <f t="shared" si="54"/>
        <v>-3232.8671344769455</v>
      </c>
      <c r="CM47" s="71">
        <f t="shared" si="54"/>
        <v>-3009.5068046703473</v>
      </c>
      <c r="CN47" s="71">
        <f t="shared" si="54"/>
        <v>-2791.975224592562</v>
      </c>
      <c r="CO47" s="71">
        <f t="shared" si="54"/>
        <v>-2580.1331989376531</v>
      </c>
      <c r="CP47" s="71">
        <f t="shared" si="54"/>
        <v>-2373.8448105468974</v>
      </c>
      <c r="CQ47" s="71">
        <f t="shared" si="54"/>
        <v>-2172.9773433848377</v>
      </c>
      <c r="CR47" s="71">
        <f t="shared" si="54"/>
        <v>-1977.4012073243928</v>
      </c>
      <c r="CS47" s="71">
        <f t="shared" si="54"/>
        <v>-1786.9898646985489</v>
      </c>
      <c r="CT47" s="71">
        <f t="shared" si="54"/>
        <v>-1601.6197585771372</v>
      </c>
      <c r="CU47" s="71">
        <f t="shared" si="54"/>
        <v>-1421.1702427281884</v>
      </c>
      <c r="CV47" s="71">
        <f t="shared" si="54"/>
        <v>-1245.5235132242917</v>
      </c>
      <c r="CW47" s="71">
        <f t="shared" si="54"/>
        <v>-1074.5645416553409</v>
      </c>
      <c r="CX47" s="71">
        <f t="shared" si="54"/>
        <v>-908.18100990991695</v>
      </c>
      <c r="CY47" s="71">
        <f t="shared" si="54"/>
        <v>-746.26324648849425</v>
      </c>
      <c r="CZ47" s="71">
        <f t="shared" si="54"/>
        <v>-588.70416431247236</v>
      </c>
      <c r="DA47" s="71">
        <f t="shared" ref="DA47:DC47" si="55">DA43*DA26</f>
        <v>-435.39919999391248</v>
      </c>
      <c r="DB47" s="71">
        <f t="shared" si="55"/>
        <v>-286.24625453167539</v>
      </c>
      <c r="DC47" s="71">
        <f t="shared" si="55"/>
        <v>-141.14563540045515</v>
      </c>
    </row>
  </sheetData>
  <mergeCells count="5">
    <mergeCell ref="A3:D3"/>
    <mergeCell ref="F3:G3"/>
    <mergeCell ref="F8:G8"/>
    <mergeCell ref="A13:D13"/>
    <mergeCell ref="F14:G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80C7-F95E-A54E-9491-FDFBBDF19388}">
  <sheetPr>
    <tabColor rgb="FF00B0F0"/>
  </sheetPr>
  <dimension ref="A1:BX47"/>
  <sheetViews>
    <sheetView workbookViewId="0">
      <selection activeCell="F10" sqref="F10"/>
    </sheetView>
  </sheetViews>
  <sheetFormatPr defaultColWidth="11.19921875" defaultRowHeight="15.6"/>
  <cols>
    <col min="3" max="3" width="22.19921875" customWidth="1"/>
    <col min="4" max="4" width="19.69921875" customWidth="1"/>
    <col min="5" max="5" width="23.69921875" customWidth="1"/>
    <col min="6" max="6" width="26.19921875" customWidth="1"/>
    <col min="7" max="7" width="19.19921875" customWidth="1"/>
    <col min="8" max="8" width="18.5" customWidth="1"/>
    <col min="9" max="9" width="18.296875" customWidth="1"/>
    <col min="10" max="76" width="15.796875" customWidth="1"/>
  </cols>
  <sheetData>
    <row r="1" spans="1:12" s="157" customFormat="1" ht="21">
      <c r="A1" s="158" t="s">
        <v>159</v>
      </c>
    </row>
    <row r="3" spans="1:12" ht="21">
      <c r="A3" s="347" t="s">
        <v>1</v>
      </c>
      <c r="B3" s="348"/>
      <c r="C3" s="348"/>
      <c r="D3" s="349"/>
      <c r="F3" s="321" t="s">
        <v>2</v>
      </c>
      <c r="G3" s="322"/>
    </row>
    <row r="4" spans="1:12">
      <c r="A4" s="55" t="s">
        <v>3</v>
      </c>
      <c r="B4" s="22"/>
      <c r="C4" s="22"/>
      <c r="D4" s="131">
        <f>Data!D33</f>
        <v>1990</v>
      </c>
      <c r="F4" s="6" t="s">
        <v>4</v>
      </c>
      <c r="G4" s="7">
        <f>D10</f>
        <v>1076543236</v>
      </c>
    </row>
    <row r="5" spans="1:12">
      <c r="A5" s="4" t="s">
        <v>5</v>
      </c>
      <c r="B5" s="126"/>
      <c r="C5" s="126"/>
      <c r="D5" s="8">
        <f>Data!F33</f>
        <v>7.8600000000000003E-2</v>
      </c>
      <c r="F5" s="6" t="s">
        <v>6</v>
      </c>
      <c r="G5" s="9">
        <f>D30*-1</f>
        <v>2557689174.7107167</v>
      </c>
    </row>
    <row r="6" spans="1:12">
      <c r="A6" s="4" t="s">
        <v>7</v>
      </c>
      <c r="B6" s="126"/>
      <c r="C6" s="126"/>
      <c r="D6" s="10">
        <f>Data!G33</f>
        <v>6</v>
      </c>
      <c r="F6" s="11" t="s">
        <v>8</v>
      </c>
      <c r="G6" s="12">
        <f>D34*-1</f>
        <v>1151037344.4402239</v>
      </c>
    </row>
    <row r="7" spans="1:12">
      <c r="A7" s="4" t="s">
        <v>9</v>
      </c>
      <c r="B7" s="126"/>
      <c r="C7" s="126"/>
      <c r="D7" s="10">
        <f>Data!E33</f>
        <v>19</v>
      </c>
      <c r="I7" s="258"/>
      <c r="J7" s="258"/>
      <c r="K7" s="258"/>
      <c r="L7" s="258"/>
    </row>
    <row r="8" spans="1:12">
      <c r="A8" s="4" t="s">
        <v>10</v>
      </c>
      <c r="B8" s="126"/>
      <c r="C8" s="126"/>
      <c r="D8" s="10">
        <v>2</v>
      </c>
      <c r="F8" s="321" t="s">
        <v>11</v>
      </c>
      <c r="G8" s="322"/>
      <c r="I8" s="288"/>
      <c r="J8" s="258"/>
      <c r="K8" s="258"/>
      <c r="L8" s="258"/>
    </row>
    <row r="9" spans="1:12">
      <c r="A9" s="4" t="s">
        <v>12</v>
      </c>
      <c r="B9" s="126"/>
      <c r="C9" s="126"/>
      <c r="D9" s="10">
        <f>(D7-D6)*2</f>
        <v>26</v>
      </c>
      <c r="F9" s="6" t="s">
        <v>4</v>
      </c>
      <c r="G9" s="7">
        <f>D10</f>
        <v>1076543236</v>
      </c>
      <c r="I9" s="289"/>
      <c r="J9" s="258"/>
      <c r="K9" s="258"/>
      <c r="L9" s="258"/>
    </row>
    <row r="10" spans="1:12">
      <c r="A10" s="4" t="s">
        <v>160</v>
      </c>
      <c r="B10" s="126"/>
      <c r="C10" s="126"/>
      <c r="D10" s="144">
        <f>Data!B33</f>
        <v>1076543236</v>
      </c>
      <c r="F10" s="6" t="s">
        <v>31</v>
      </c>
      <c r="G10" s="9">
        <f>D20</f>
        <v>551971641</v>
      </c>
      <c r="I10" s="290"/>
      <c r="J10" s="290"/>
      <c r="K10" s="290"/>
      <c r="L10" s="258"/>
    </row>
    <row r="11" spans="1:12">
      <c r="A11" s="13" t="s">
        <v>15</v>
      </c>
      <c r="B11" s="14"/>
      <c r="C11" s="14"/>
      <c r="D11" s="195">
        <v>6.6000000000000003E-2</v>
      </c>
      <c r="F11" s="6" t="s">
        <v>6</v>
      </c>
      <c r="G11" s="9">
        <f>D41*-1</f>
        <v>605243954.5042448</v>
      </c>
      <c r="I11" s="291"/>
      <c r="J11" s="291"/>
      <c r="K11" s="291"/>
      <c r="L11" s="258"/>
    </row>
    <row r="12" spans="1:12">
      <c r="F12" s="11" t="s">
        <v>8</v>
      </c>
      <c r="G12" s="12">
        <f>D45*-1</f>
        <v>86220275.052058309</v>
      </c>
      <c r="I12" s="291"/>
      <c r="J12" s="291"/>
      <c r="K12" s="291"/>
      <c r="L12" s="258"/>
    </row>
    <row r="13" spans="1:12" ht="20.399999999999999">
      <c r="A13" s="354" t="s">
        <v>16</v>
      </c>
      <c r="B13" s="355"/>
      <c r="C13" s="355"/>
      <c r="D13" s="356"/>
      <c r="F13" s="16"/>
      <c r="I13" s="291"/>
      <c r="J13" s="291"/>
      <c r="K13" s="291"/>
      <c r="L13" s="258"/>
    </row>
    <row r="14" spans="1:12">
      <c r="A14" s="132" t="s">
        <v>17</v>
      </c>
      <c r="B14" s="133"/>
      <c r="C14" s="133"/>
      <c r="D14" s="134">
        <f>Data!H33</f>
        <v>2009</v>
      </c>
      <c r="F14" s="323" t="s">
        <v>109</v>
      </c>
      <c r="G14" s="324"/>
      <c r="I14" s="291"/>
      <c r="J14" s="291"/>
      <c r="K14" s="291"/>
      <c r="L14" s="258"/>
    </row>
    <row r="15" spans="1:12">
      <c r="A15" s="135" t="s">
        <v>5</v>
      </c>
      <c r="B15" s="136"/>
      <c r="C15" s="136"/>
      <c r="D15" s="145">
        <f>Data!N33</f>
        <v>6.7000000000000002E-3</v>
      </c>
      <c r="F15" s="121" t="s">
        <v>44</v>
      </c>
      <c r="G15" s="118" t="s">
        <v>45</v>
      </c>
      <c r="I15" s="291"/>
      <c r="J15" s="291"/>
      <c r="K15" s="291"/>
      <c r="L15" s="258"/>
    </row>
    <row r="16" spans="1:12">
      <c r="A16" s="135" t="s">
        <v>7</v>
      </c>
      <c r="B16" s="136"/>
      <c r="C16" s="136"/>
      <c r="D16" s="137">
        <f>Data!O33</f>
        <v>23.5</v>
      </c>
      <c r="F16" s="119">
        <f>(1-((D5/D8)/D21))*(1-(((1/((1+D21)^(D8*D6)))-(1/((1+D21)^(D8*D7))))/(D21*(D8*D7-D8*D6))))</f>
        <v>-0.26858306677939708</v>
      </c>
      <c r="G16" s="122">
        <f>(1-((D15/D18)/D21))*(1-(((1/((1+D21)^(D18*D16)))-(1/((1+D21)^(D18*D17))))/(D21*(D18*D17-D18*D16))))+((D10-D20)/D10)</f>
        <v>1.1529068929794579</v>
      </c>
      <c r="I16" s="291"/>
      <c r="J16" s="292"/>
      <c r="K16" s="292"/>
      <c r="L16" s="258"/>
    </row>
    <row r="17" spans="1:76">
      <c r="A17" s="135" t="s">
        <v>9</v>
      </c>
      <c r="B17" s="136"/>
      <c r="C17" s="136"/>
      <c r="D17" s="137">
        <f>Data!M33</f>
        <v>37</v>
      </c>
      <c r="I17" s="258"/>
      <c r="J17" s="258"/>
      <c r="K17" s="258"/>
      <c r="L17" s="258"/>
    </row>
    <row r="18" spans="1:76">
      <c r="A18" s="135" t="s">
        <v>10</v>
      </c>
      <c r="B18" s="136"/>
      <c r="C18" s="136"/>
      <c r="D18" s="137">
        <v>2</v>
      </c>
      <c r="I18" s="258"/>
      <c r="J18" s="258"/>
      <c r="K18" s="258"/>
      <c r="L18" s="258"/>
    </row>
    <row r="19" spans="1:76">
      <c r="A19" s="135" t="s">
        <v>12</v>
      </c>
      <c r="B19" s="136"/>
      <c r="C19" s="136"/>
      <c r="D19" s="137">
        <f>(D17-D16)*2</f>
        <v>27</v>
      </c>
      <c r="I19" s="258"/>
      <c r="J19" s="258"/>
      <c r="K19" s="258"/>
      <c r="L19" s="258"/>
    </row>
    <row r="20" spans="1:76">
      <c r="A20" s="135" t="s">
        <v>264</v>
      </c>
      <c r="B20" s="136"/>
      <c r="C20" s="136"/>
      <c r="D20" s="154">
        <f>Data!L33</f>
        <v>551971641</v>
      </c>
    </row>
    <row r="21" spans="1:76">
      <c r="A21" s="196" t="s">
        <v>187</v>
      </c>
      <c r="B21" s="14"/>
      <c r="C21" s="14"/>
      <c r="D21" s="195">
        <f>(1.05^0.5)-1</f>
        <v>2.4695076595959931E-2</v>
      </c>
    </row>
    <row r="23" spans="1:76" ht="78">
      <c r="A23" s="302" t="s">
        <v>43</v>
      </c>
      <c r="E23" s="53" t="s">
        <v>25</v>
      </c>
      <c r="AE23" s="21" t="s">
        <v>211</v>
      </c>
      <c r="AO23" s="21" t="s">
        <v>40</v>
      </c>
      <c r="BN23" s="51"/>
      <c r="BO23" s="21" t="s">
        <v>149</v>
      </c>
    </row>
    <row r="24" spans="1:76">
      <c r="A24" s="2" t="s">
        <v>23</v>
      </c>
      <c r="E24" s="139" t="s">
        <v>210</v>
      </c>
      <c r="F24" s="24">
        <v>35430</v>
      </c>
      <c r="G24" s="24">
        <v>35611</v>
      </c>
      <c r="H24" s="24">
        <v>35795</v>
      </c>
      <c r="I24" s="24">
        <v>35976</v>
      </c>
      <c r="J24" s="24">
        <v>36160</v>
      </c>
      <c r="K24" s="24">
        <v>36341</v>
      </c>
      <c r="L24" s="24">
        <v>36525</v>
      </c>
      <c r="M24" s="24">
        <v>36707</v>
      </c>
      <c r="N24" s="24">
        <v>36891</v>
      </c>
      <c r="O24" s="24">
        <v>37072</v>
      </c>
      <c r="P24" s="24">
        <v>37256</v>
      </c>
      <c r="Q24" s="24">
        <v>37437</v>
      </c>
      <c r="R24" s="24">
        <v>37621</v>
      </c>
      <c r="S24" s="24">
        <v>37802</v>
      </c>
      <c r="T24" s="24">
        <v>37986</v>
      </c>
      <c r="U24" s="24">
        <v>38168</v>
      </c>
      <c r="V24" s="24">
        <v>38352</v>
      </c>
      <c r="W24" s="24">
        <v>38533</v>
      </c>
      <c r="X24" s="24">
        <v>38717</v>
      </c>
      <c r="Y24" s="24">
        <v>38898</v>
      </c>
      <c r="Z24" s="24">
        <v>39082</v>
      </c>
      <c r="AA24" s="24">
        <v>39263</v>
      </c>
      <c r="AB24" s="24">
        <v>39447</v>
      </c>
      <c r="AC24" s="24">
        <v>39629</v>
      </c>
      <c r="AD24" s="24">
        <v>39813</v>
      </c>
      <c r="AE24" s="24">
        <v>39994</v>
      </c>
      <c r="AF24" s="24">
        <v>40178</v>
      </c>
      <c r="AG24" s="24">
        <v>40359</v>
      </c>
      <c r="AH24" s="24">
        <v>40543</v>
      </c>
      <c r="AI24" s="24">
        <v>40724</v>
      </c>
      <c r="AJ24" s="24">
        <v>40908</v>
      </c>
      <c r="AK24" s="24">
        <v>41090</v>
      </c>
      <c r="AL24" s="24">
        <v>41274</v>
      </c>
      <c r="AM24" s="24">
        <v>41455</v>
      </c>
      <c r="AN24" s="24">
        <v>41639</v>
      </c>
      <c r="AO24" s="24">
        <v>41820</v>
      </c>
      <c r="AP24" s="24">
        <v>42004</v>
      </c>
      <c r="AQ24" s="24">
        <v>42185</v>
      </c>
      <c r="AR24" s="24">
        <v>42369</v>
      </c>
      <c r="AS24" s="24">
        <v>42551</v>
      </c>
      <c r="AT24" s="24">
        <v>42735</v>
      </c>
      <c r="AU24" s="24">
        <v>42916</v>
      </c>
      <c r="AV24" s="24">
        <v>43100</v>
      </c>
      <c r="AW24" s="24">
        <v>43281</v>
      </c>
      <c r="AX24" s="24">
        <v>43465</v>
      </c>
      <c r="AY24" s="24">
        <v>43646</v>
      </c>
      <c r="AZ24" s="24">
        <v>43830</v>
      </c>
      <c r="BA24" s="24">
        <v>44012</v>
      </c>
      <c r="BB24" s="24">
        <v>44196</v>
      </c>
      <c r="BC24" s="24">
        <v>44377</v>
      </c>
      <c r="BD24" s="24">
        <v>44561</v>
      </c>
      <c r="BE24" s="24">
        <v>44742</v>
      </c>
      <c r="BF24" s="24">
        <v>44926</v>
      </c>
      <c r="BG24" s="24">
        <v>45107</v>
      </c>
      <c r="BH24" s="24">
        <v>45291</v>
      </c>
      <c r="BI24" s="24">
        <v>45473</v>
      </c>
      <c r="BJ24" s="24">
        <v>45657</v>
      </c>
      <c r="BK24" s="24">
        <v>45838</v>
      </c>
      <c r="BL24" s="24">
        <v>46022</v>
      </c>
      <c r="BM24" s="24">
        <v>46203</v>
      </c>
      <c r="BN24" s="24">
        <v>46387</v>
      </c>
      <c r="BO24" s="24">
        <v>46568</v>
      </c>
      <c r="BP24" s="149"/>
      <c r="BQ24" s="149"/>
      <c r="BR24" s="149"/>
      <c r="BS24" s="149"/>
      <c r="BT24" s="149"/>
      <c r="BU24" s="149"/>
      <c r="BV24" s="149"/>
      <c r="BW24" s="149"/>
      <c r="BX24" s="149"/>
    </row>
    <row r="25" spans="1:76">
      <c r="A25" s="2" t="s">
        <v>38</v>
      </c>
      <c r="F25">
        <v>13</v>
      </c>
      <c r="G25">
        <v>14</v>
      </c>
      <c r="H25">
        <v>15</v>
      </c>
      <c r="I25">
        <v>16</v>
      </c>
      <c r="J25">
        <v>17</v>
      </c>
      <c r="K25">
        <v>18</v>
      </c>
      <c r="L25">
        <v>19</v>
      </c>
      <c r="M25">
        <v>20</v>
      </c>
      <c r="N25">
        <v>21</v>
      </c>
      <c r="O25">
        <v>22</v>
      </c>
      <c r="P25">
        <v>23</v>
      </c>
      <c r="Q25">
        <v>24</v>
      </c>
      <c r="R25">
        <v>25</v>
      </c>
      <c r="S25">
        <v>26</v>
      </c>
      <c r="T25">
        <v>27</v>
      </c>
      <c r="U25">
        <v>28</v>
      </c>
      <c r="V25">
        <v>29</v>
      </c>
      <c r="W25">
        <v>30</v>
      </c>
      <c r="X25">
        <v>31</v>
      </c>
      <c r="Y25">
        <v>32</v>
      </c>
      <c r="Z25">
        <v>33</v>
      </c>
      <c r="AA25">
        <v>34</v>
      </c>
      <c r="AB25">
        <v>35</v>
      </c>
      <c r="AC25">
        <v>36</v>
      </c>
      <c r="AD25">
        <v>37</v>
      </c>
      <c r="AE25">
        <v>38</v>
      </c>
      <c r="AF25">
        <v>39</v>
      </c>
      <c r="AG25">
        <v>40</v>
      </c>
      <c r="AH25">
        <v>41</v>
      </c>
      <c r="AI25">
        <v>42</v>
      </c>
      <c r="AJ25">
        <v>43</v>
      </c>
      <c r="AK25">
        <v>44</v>
      </c>
      <c r="AL25">
        <v>45</v>
      </c>
      <c r="AM25">
        <v>46</v>
      </c>
      <c r="AN25">
        <v>47</v>
      </c>
      <c r="AO25">
        <v>48</v>
      </c>
      <c r="AP25">
        <v>49</v>
      </c>
      <c r="AQ25">
        <v>50</v>
      </c>
      <c r="AR25">
        <v>51</v>
      </c>
      <c r="AS25">
        <v>52</v>
      </c>
      <c r="AT25">
        <v>53</v>
      </c>
      <c r="AU25">
        <v>54</v>
      </c>
      <c r="AV25">
        <v>55</v>
      </c>
      <c r="AW25">
        <v>56</v>
      </c>
      <c r="AX25">
        <v>57</v>
      </c>
      <c r="AY25">
        <v>58</v>
      </c>
      <c r="AZ25">
        <v>59</v>
      </c>
      <c r="BA25">
        <v>60</v>
      </c>
      <c r="BB25">
        <v>61</v>
      </c>
      <c r="BC25">
        <v>62</v>
      </c>
      <c r="BD25">
        <v>63</v>
      </c>
      <c r="BE25">
        <v>64</v>
      </c>
      <c r="BF25">
        <v>65</v>
      </c>
      <c r="BG25">
        <v>66</v>
      </c>
      <c r="BH25">
        <v>67</v>
      </c>
      <c r="BI25">
        <v>68</v>
      </c>
      <c r="BJ25">
        <v>69</v>
      </c>
      <c r="BK25">
        <v>70</v>
      </c>
      <c r="BL25">
        <v>71</v>
      </c>
      <c r="BM25">
        <v>72</v>
      </c>
      <c r="BN25">
        <v>73</v>
      </c>
      <c r="BO25">
        <v>74</v>
      </c>
      <c r="BP25" s="141"/>
      <c r="BQ25" s="141"/>
      <c r="BR25" s="141"/>
      <c r="BS25" s="141"/>
      <c r="BT25" s="141"/>
      <c r="BU25" s="141"/>
      <c r="BV25" s="141"/>
      <c r="BW25" s="141"/>
      <c r="BX25" s="141"/>
    </row>
    <row r="26" spans="1:76">
      <c r="A26" s="2" t="s">
        <v>26</v>
      </c>
      <c r="F26" s="138">
        <f t="shared" ref="F26:AQ26" si="0">1/((1+($D$11/$D$8))^(F25))</f>
        <v>0.65568586321124789</v>
      </c>
      <c r="G26" s="138">
        <f t="shared" si="0"/>
        <v>0.63473946099830392</v>
      </c>
      <c r="H26" s="138">
        <f t="shared" si="0"/>
        <v>0.61446220813001351</v>
      </c>
      <c r="I26" s="138">
        <f t="shared" si="0"/>
        <v>0.594832728102627</v>
      </c>
      <c r="J26" s="138">
        <f t="shared" si="0"/>
        <v>0.57583032730167183</v>
      </c>
      <c r="K26" s="138">
        <f t="shared" si="0"/>
        <v>0.55743497318651691</v>
      </c>
      <c r="L26" s="138">
        <f t="shared" si="0"/>
        <v>0.539627273171846</v>
      </c>
      <c r="M26" s="138">
        <f t="shared" si="0"/>
        <v>0.52238845418378133</v>
      </c>
      <c r="N26" s="138">
        <f t="shared" si="0"/>
        <v>0.50570034286910093</v>
      </c>
      <c r="O26" s="138">
        <f t="shared" si="0"/>
        <v>0.48954534643669029</v>
      </c>
      <c r="P26" s="138">
        <f t="shared" si="0"/>
        <v>0.47390643411102645</v>
      </c>
      <c r="Q26" s="138">
        <f t="shared" si="0"/>
        <v>0.45876711917814772</v>
      </c>
      <c r="R26" s="138">
        <f t="shared" si="0"/>
        <v>0.44411144160517685</v>
      </c>
      <c r="S26" s="138">
        <f t="shared" si="0"/>
        <v>0.42992395121507937</v>
      </c>
      <c r="T26" s="138">
        <f t="shared" si="0"/>
        <v>0.4161896913989151</v>
      </c>
      <c r="U26" s="138">
        <f t="shared" si="0"/>
        <v>0.40289418334841742</v>
      </c>
      <c r="V26" s="138">
        <f t="shared" si="0"/>
        <v>0.39002341079227243</v>
      </c>
      <c r="W26" s="138">
        <f t="shared" si="0"/>
        <v>0.37756380522001215</v>
      </c>
      <c r="X26" s="138">
        <f t="shared" si="0"/>
        <v>0.36550223157794015</v>
      </c>
      <c r="Y26" s="138">
        <f t="shared" si="0"/>
        <v>0.35382597442201369</v>
      </c>
      <c r="Z26" s="138">
        <f t="shared" si="0"/>
        <v>0.34252272451308202</v>
      </c>
      <c r="AA26" s="138">
        <f t="shared" si="0"/>
        <v>0.33158056584035056</v>
      </c>
      <c r="AB26" s="138">
        <f t="shared" si="0"/>
        <v>0.32098796305939065</v>
      </c>
      <c r="AC26" s="138">
        <f t="shared" si="0"/>
        <v>0.31073374933145276</v>
      </c>
      <c r="AD26" s="138">
        <f t="shared" si="0"/>
        <v>0.30080711455126113</v>
      </c>
      <c r="AE26" s="138">
        <f t="shared" si="0"/>
        <v>0.29119759395088207</v>
      </c>
      <c r="AF26" s="138">
        <f t="shared" si="0"/>
        <v>0.28189505706764967</v>
      </c>
      <c r="AG26" s="138">
        <f t="shared" si="0"/>
        <v>0.27288969706452054</v>
      </c>
      <c r="AH26" s="138">
        <f t="shared" si="0"/>
        <v>0.26417202039159782</v>
      </c>
      <c r="AI26" s="138">
        <f t="shared" si="0"/>
        <v>0.25573283677792635</v>
      </c>
      <c r="AJ26" s="138">
        <f t="shared" si="0"/>
        <v>0.24756324954300707</v>
      </c>
      <c r="AK26" s="138">
        <f t="shared" si="0"/>
        <v>0.2396546462178191</v>
      </c>
      <c r="AL26" s="138">
        <f t="shared" si="0"/>
        <v>0.23199868946545896</v>
      </c>
      <c r="AM26" s="138">
        <f t="shared" si="0"/>
        <v>0.22458730829182869</v>
      </c>
      <c r="AN26" s="138">
        <f t="shared" si="0"/>
        <v>0.21741268953710424</v>
      </c>
      <c r="AO26" s="138">
        <f t="shared" si="0"/>
        <v>0.21046726963901674</v>
      </c>
      <c r="AP26" s="138">
        <f t="shared" si="0"/>
        <v>0.20374372665926113</v>
      </c>
      <c r="AQ26" s="138">
        <f t="shared" si="0"/>
        <v>0.19723497256462844</v>
      </c>
      <c r="AR26" s="138">
        <f t="shared" ref="AR26:BO26" si="1">1/((1+($D$11/$D$8))^(AR25))</f>
        <v>0.19093414575472259</v>
      </c>
      <c r="AS26" s="138">
        <f t="shared" si="1"/>
        <v>0.18483460382838587</v>
      </c>
      <c r="AT26" s="138">
        <f t="shared" si="1"/>
        <v>0.17892991658120608</v>
      </c>
      <c r="AU26" s="138">
        <f t="shared" si="1"/>
        <v>0.17321385922672422</v>
      </c>
      <c r="AV26" s="138">
        <f t="shared" si="1"/>
        <v>0.16768040583419577</v>
      </c>
      <c r="AW26" s="138">
        <f t="shared" si="1"/>
        <v>0.16232372297598821</v>
      </c>
      <c r="AX26" s="138">
        <f t="shared" si="1"/>
        <v>0.15713816357791693</v>
      </c>
      <c r="AY26" s="138">
        <f t="shared" si="1"/>
        <v>0.15211826096603773</v>
      </c>
      <c r="AZ26" s="138">
        <f t="shared" si="1"/>
        <v>0.14725872310361832</v>
      </c>
      <c r="BA26" s="138">
        <f t="shared" si="1"/>
        <v>0.14255442701221527</v>
      </c>
      <c r="BB26" s="138">
        <f t="shared" si="1"/>
        <v>0.13800041337097313</v>
      </c>
      <c r="BC26" s="138">
        <f t="shared" si="1"/>
        <v>0.13359188128845417</v>
      </c>
      <c r="BD26" s="138">
        <f t="shared" si="1"/>
        <v>0.12932418324148517</v>
      </c>
      <c r="BE26" s="138">
        <f t="shared" si="1"/>
        <v>0.1251928201756875</v>
      </c>
      <c r="BF26" s="138">
        <f t="shared" si="1"/>
        <v>0.12119343676252421</v>
      </c>
      <c r="BG26" s="138">
        <f t="shared" si="1"/>
        <v>0.11732181680786472</v>
      </c>
      <c r="BH26" s="138">
        <f t="shared" si="1"/>
        <v>0.11357387880722625</v>
      </c>
      <c r="BI26" s="138">
        <f t="shared" si="1"/>
        <v>0.10994567164300702</v>
      </c>
      <c r="BJ26" s="138">
        <f t="shared" si="1"/>
        <v>0.10643337041917428</v>
      </c>
      <c r="BK26" s="138">
        <f t="shared" si="1"/>
        <v>0.10303327242901673</v>
      </c>
      <c r="BL26" s="138">
        <f t="shared" si="1"/>
        <v>9.9741793251710315E-2</v>
      </c>
      <c r="BM26" s="138">
        <f t="shared" si="1"/>
        <v>9.6555462973582126E-2</v>
      </c>
      <c r="BN26" s="138">
        <f t="shared" si="1"/>
        <v>9.3470922530089179E-2</v>
      </c>
      <c r="BO26" s="138">
        <f t="shared" si="1"/>
        <v>9.0484920164655577E-2</v>
      </c>
      <c r="BP26" s="150"/>
      <c r="BQ26" s="150"/>
      <c r="BR26" s="150"/>
      <c r="BS26" s="150"/>
      <c r="BT26" s="150"/>
      <c r="BU26" s="150"/>
      <c r="BV26" s="150"/>
      <c r="BW26" s="150"/>
      <c r="BX26" s="150"/>
    </row>
    <row r="27" spans="1:76">
      <c r="BO27" s="141"/>
      <c r="BP27" s="141"/>
      <c r="BQ27" s="141"/>
      <c r="BR27" s="141"/>
      <c r="BS27" s="141"/>
      <c r="BT27" s="141"/>
      <c r="BU27" s="141"/>
      <c r="BV27" s="141"/>
      <c r="BW27" s="141"/>
      <c r="BX27" s="141"/>
    </row>
    <row r="28" spans="1:76" ht="21">
      <c r="A28" s="29" t="s">
        <v>27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141"/>
      <c r="BQ28" s="141"/>
      <c r="BR28" s="141"/>
      <c r="BS28" s="141"/>
      <c r="BT28" s="141"/>
      <c r="BU28" s="141"/>
      <c r="BV28" s="141"/>
      <c r="BW28" s="141"/>
      <c r="BX28" s="141"/>
    </row>
    <row r="29" spans="1:76">
      <c r="A29" s="2" t="s">
        <v>37</v>
      </c>
      <c r="F29">
        <v>1</v>
      </c>
      <c r="G29">
        <v>2</v>
      </c>
      <c r="H29">
        <v>3</v>
      </c>
      <c r="I29">
        <v>4</v>
      </c>
      <c r="J29">
        <v>5</v>
      </c>
      <c r="K29">
        <v>6</v>
      </c>
      <c r="L29">
        <v>7</v>
      </c>
      <c r="M29">
        <v>8</v>
      </c>
      <c r="N29">
        <v>9</v>
      </c>
      <c r="O29">
        <v>10</v>
      </c>
      <c r="P29">
        <v>11</v>
      </c>
      <c r="Q29">
        <v>12</v>
      </c>
      <c r="R29">
        <v>13</v>
      </c>
      <c r="S29">
        <v>14</v>
      </c>
      <c r="T29">
        <v>15</v>
      </c>
      <c r="U29">
        <v>16</v>
      </c>
      <c r="V29">
        <v>17</v>
      </c>
      <c r="W29">
        <v>18</v>
      </c>
      <c r="X29">
        <v>19</v>
      </c>
      <c r="Y29">
        <v>20</v>
      </c>
      <c r="Z29">
        <v>21</v>
      </c>
      <c r="AA29">
        <v>22</v>
      </c>
      <c r="AB29">
        <v>23</v>
      </c>
      <c r="AC29">
        <v>24</v>
      </c>
      <c r="AD29">
        <v>25</v>
      </c>
      <c r="AE29">
        <v>26</v>
      </c>
      <c r="BO29" s="141"/>
      <c r="BP29" s="141"/>
      <c r="BQ29" s="141"/>
      <c r="BR29" s="141"/>
      <c r="BS29" s="141"/>
      <c r="BT29" s="141"/>
      <c r="BU29" s="141"/>
      <c r="BV29" s="141"/>
      <c r="BW29" s="141"/>
      <c r="BX29" s="141"/>
    </row>
    <row r="30" spans="1:76">
      <c r="A30" s="27"/>
      <c r="B30" s="26" t="s">
        <v>28</v>
      </c>
      <c r="C30" s="27"/>
      <c r="D30" s="71">
        <f>SUM(F30:BO30)</f>
        <v>-2557689174.7107167</v>
      </c>
      <c r="E30" s="71"/>
      <c r="F30" s="71">
        <f>PMT($D$5,$D$9,$D$10)</f>
        <v>-98372660.565796763</v>
      </c>
      <c r="G30" s="71">
        <f t="shared" ref="G30:AE30" si="2">PMT($D$5,$D$9,$D$10)</f>
        <v>-98372660.565796763</v>
      </c>
      <c r="H30" s="71">
        <f t="shared" si="2"/>
        <v>-98372660.565796763</v>
      </c>
      <c r="I30" s="71">
        <f t="shared" si="2"/>
        <v>-98372660.565796763</v>
      </c>
      <c r="J30" s="71">
        <f t="shared" si="2"/>
        <v>-98372660.565796763</v>
      </c>
      <c r="K30" s="71">
        <f t="shared" si="2"/>
        <v>-98372660.565796763</v>
      </c>
      <c r="L30" s="71">
        <f t="shared" si="2"/>
        <v>-98372660.565796763</v>
      </c>
      <c r="M30" s="71">
        <f t="shared" si="2"/>
        <v>-98372660.565796763</v>
      </c>
      <c r="N30" s="71">
        <f t="shared" si="2"/>
        <v>-98372660.565796763</v>
      </c>
      <c r="O30" s="71">
        <f t="shared" si="2"/>
        <v>-98372660.565796763</v>
      </c>
      <c r="P30" s="71">
        <f t="shared" si="2"/>
        <v>-98372660.565796763</v>
      </c>
      <c r="Q30" s="71">
        <f t="shared" si="2"/>
        <v>-98372660.565796763</v>
      </c>
      <c r="R30" s="71">
        <f t="shared" si="2"/>
        <v>-98372660.565796763</v>
      </c>
      <c r="S30" s="71">
        <f t="shared" si="2"/>
        <v>-98372660.565796763</v>
      </c>
      <c r="T30" s="71">
        <f t="shared" si="2"/>
        <v>-98372660.565796763</v>
      </c>
      <c r="U30" s="71">
        <f t="shared" si="2"/>
        <v>-98372660.565796763</v>
      </c>
      <c r="V30" s="71">
        <f t="shared" si="2"/>
        <v>-98372660.565796763</v>
      </c>
      <c r="W30" s="71">
        <f t="shared" si="2"/>
        <v>-98372660.565796763</v>
      </c>
      <c r="X30" s="71">
        <f t="shared" si="2"/>
        <v>-98372660.565796763</v>
      </c>
      <c r="Y30" s="71">
        <f t="shared" si="2"/>
        <v>-98372660.565796763</v>
      </c>
      <c r="Z30" s="71">
        <f t="shared" si="2"/>
        <v>-98372660.565796763</v>
      </c>
      <c r="AA30" s="71">
        <f t="shared" si="2"/>
        <v>-98372660.565796763</v>
      </c>
      <c r="AB30" s="71">
        <f t="shared" si="2"/>
        <v>-98372660.565796763</v>
      </c>
      <c r="AC30" s="71">
        <f t="shared" si="2"/>
        <v>-98372660.565796763</v>
      </c>
      <c r="AD30" s="71">
        <f t="shared" si="2"/>
        <v>-98372660.565796763</v>
      </c>
      <c r="AE30" s="71">
        <f t="shared" si="2"/>
        <v>-98372660.565796763</v>
      </c>
      <c r="BO30" s="141"/>
      <c r="BP30" s="141"/>
      <c r="BQ30" s="141"/>
      <c r="BR30" s="141"/>
      <c r="BS30" s="141"/>
      <c r="BT30" s="141"/>
      <c r="BU30" s="141"/>
      <c r="BV30" s="141"/>
      <c r="BW30" s="141"/>
      <c r="BX30" s="141"/>
    </row>
    <row r="31" spans="1:76">
      <c r="A31" s="27"/>
      <c r="B31" s="27"/>
      <c r="C31" s="27" t="s">
        <v>29</v>
      </c>
      <c r="D31" s="71">
        <f t="shared" ref="D31:D36" si="3">SUM(F31:BO31)</f>
        <v>-1076543236</v>
      </c>
      <c r="E31" s="71"/>
      <c r="F31" s="71">
        <f t="shared" ref="F31:AE31" si="4">PPMT($D$5,F$29,$D$9,$D$10)</f>
        <v>-13756362.216196761</v>
      </c>
      <c r="G31" s="71">
        <f t="shared" si="4"/>
        <v>-14837612.286389826</v>
      </c>
      <c r="H31" s="71">
        <f t="shared" si="4"/>
        <v>-16003848.612100067</v>
      </c>
      <c r="I31" s="71">
        <f t="shared" si="4"/>
        <v>-17261751.113011133</v>
      </c>
      <c r="J31" s="71">
        <f t="shared" si="4"/>
        <v>-18618524.75049381</v>
      </c>
      <c r="K31" s="71">
        <f t="shared" si="4"/>
        <v>-20081940.79588262</v>
      </c>
      <c r="L31" s="71">
        <f t="shared" si="4"/>
        <v>-21660381.342438992</v>
      </c>
      <c r="M31" s="71">
        <f t="shared" si="4"/>
        <v>-23362887.3159547</v>
      </c>
      <c r="N31" s="71">
        <f t="shared" si="4"/>
        <v>-25199210.258988734</v>
      </c>
      <c r="O31" s="71">
        <f t="shared" si="4"/>
        <v>-27179868.185345251</v>
      </c>
      <c r="P31" s="71">
        <f t="shared" si="4"/>
        <v>-29316205.82471339</v>
      </c>
      <c r="Q31" s="71">
        <f t="shared" si="4"/>
        <v>-31620459.602535862</v>
      </c>
      <c r="R31" s="71">
        <f t="shared" si="4"/>
        <v>-34105827.72729519</v>
      </c>
      <c r="S31" s="71">
        <f t="shared" si="4"/>
        <v>-36786545.786660582</v>
      </c>
      <c r="T31" s="71">
        <f t="shared" si="4"/>
        <v>-39677968.285492107</v>
      </c>
      <c r="U31" s="71">
        <f t="shared" si="4"/>
        <v>-42796656.592731789</v>
      </c>
      <c r="V31" s="71">
        <f t="shared" si="4"/>
        <v>-46160473.800920509</v>
      </c>
      <c r="W31" s="71">
        <f t="shared" si="4"/>
        <v>-49788687.041672848</v>
      </c>
      <c r="X31" s="71">
        <f t="shared" si="4"/>
        <v>-53702077.843148343</v>
      </c>
      <c r="Y31" s="71">
        <f t="shared" si="4"/>
        <v>-57923061.161619805</v>
      </c>
      <c r="Z31" s="71">
        <f t="shared" si="4"/>
        <v>-62475813.768923126</v>
      </c>
      <c r="AA31" s="71">
        <f t="shared" si="4"/>
        <v>-67386412.731160477</v>
      </c>
      <c r="AB31" s="71">
        <f t="shared" si="4"/>
        <v>-72682984.771829695</v>
      </c>
      <c r="AC31" s="71">
        <f t="shared" si="4"/>
        <v>-78395867.374895513</v>
      </c>
      <c r="AD31" s="71">
        <f t="shared" si="4"/>
        <v>-84557782.550562307</v>
      </c>
      <c r="AE31" s="71">
        <f t="shared" si="4"/>
        <v>-91204024.259036496</v>
      </c>
      <c r="BO31" s="141"/>
      <c r="BP31" s="141"/>
      <c r="BQ31" s="141"/>
      <c r="BR31" s="141"/>
      <c r="BS31" s="141"/>
      <c r="BT31" s="141"/>
      <c r="BU31" s="141"/>
      <c r="BV31" s="141"/>
      <c r="BW31" s="141"/>
      <c r="BX31" s="141"/>
    </row>
    <row r="32" spans="1:76">
      <c r="A32" s="27"/>
      <c r="B32" s="27"/>
      <c r="C32" s="27" t="s">
        <v>30</v>
      </c>
      <c r="D32" s="71">
        <f t="shared" si="3"/>
        <v>-1481145938.7107158</v>
      </c>
      <c r="E32" s="71"/>
      <c r="F32" s="71">
        <f>IPMT($D$5,F$29,$D$9,$D$10)</f>
        <v>-84616298.349600002</v>
      </c>
      <c r="G32" s="71">
        <f t="shared" ref="G32:AE32" si="5">IPMT($D$5,G$29,$D$9,$D$10)</f>
        <v>-83535048.279406935</v>
      </c>
      <c r="H32" s="71">
        <f t="shared" si="5"/>
        <v>-82368811.953696698</v>
      </c>
      <c r="I32" s="71">
        <f t="shared" si="5"/>
        <v>-81110909.452785626</v>
      </c>
      <c r="J32" s="71">
        <f t="shared" si="5"/>
        <v>-79754135.815302968</v>
      </c>
      <c r="K32" s="71">
        <f t="shared" si="5"/>
        <v>-78290719.769914135</v>
      </c>
      <c r="L32" s="71">
        <f t="shared" si="5"/>
        <v>-76712279.223357767</v>
      </c>
      <c r="M32" s="71">
        <f t="shared" si="5"/>
        <v>-75009773.249842063</v>
      </c>
      <c r="N32" s="71">
        <f t="shared" si="5"/>
        <v>-73173450.30680804</v>
      </c>
      <c r="O32" s="71">
        <f t="shared" si="5"/>
        <v>-71192792.380451515</v>
      </c>
      <c r="P32" s="71">
        <f t="shared" si="5"/>
        <v>-69056454.741083369</v>
      </c>
      <c r="Q32" s="71">
        <f t="shared" si="5"/>
        <v>-66752200.963260897</v>
      </c>
      <c r="R32" s="71">
        <f t="shared" si="5"/>
        <v>-64266832.838501573</v>
      </c>
      <c r="S32" s="71">
        <f t="shared" si="5"/>
        <v>-61586114.779136173</v>
      </c>
      <c r="T32" s="71">
        <f t="shared" si="5"/>
        <v>-58694692.280304655</v>
      </c>
      <c r="U32" s="71">
        <f t="shared" si="5"/>
        <v>-55576003.973064966</v>
      </c>
      <c r="V32" s="71">
        <f t="shared" si="5"/>
        <v>-52212186.764876254</v>
      </c>
      <c r="W32" s="71">
        <f t="shared" si="5"/>
        <v>-48583973.524123915</v>
      </c>
      <c r="X32" s="71">
        <f t="shared" si="5"/>
        <v>-44670582.722648412</v>
      </c>
      <c r="Y32" s="71">
        <f t="shared" si="5"/>
        <v>-40449599.404176958</v>
      </c>
      <c r="Z32" s="71">
        <f t="shared" si="5"/>
        <v>-35896846.796873637</v>
      </c>
      <c r="AA32" s="71">
        <f t="shared" si="5"/>
        <v>-30986247.834636282</v>
      </c>
      <c r="AB32" s="71">
        <f t="shared" si="5"/>
        <v>-25689675.793967064</v>
      </c>
      <c r="AC32" s="71">
        <f t="shared" si="5"/>
        <v>-19976793.190901253</v>
      </c>
      <c r="AD32" s="71">
        <f t="shared" si="5"/>
        <v>-13814878.015234467</v>
      </c>
      <c r="AE32" s="71">
        <f t="shared" si="5"/>
        <v>-7168636.3067602692</v>
      </c>
      <c r="BO32" s="141"/>
      <c r="BP32" s="141"/>
      <c r="BQ32" s="141"/>
      <c r="BR32" s="141"/>
      <c r="BS32" s="141"/>
      <c r="BT32" s="141"/>
      <c r="BU32" s="141"/>
      <c r="BV32" s="141"/>
      <c r="BW32" s="141"/>
      <c r="BX32" s="141"/>
    </row>
    <row r="33" spans="1:76">
      <c r="A33" s="27"/>
      <c r="B33" s="33" t="s">
        <v>31</v>
      </c>
      <c r="C33" s="33"/>
      <c r="D33" s="71"/>
      <c r="E33" s="71">
        <f>D10</f>
        <v>1076543236</v>
      </c>
      <c r="F33" s="71">
        <f>E33+F31</f>
        <v>1062786873.7838032</v>
      </c>
      <c r="G33" s="71">
        <f t="shared" ref="G33:AE33" si="6">F33+G31</f>
        <v>1047949261.4974134</v>
      </c>
      <c r="H33" s="71">
        <f t="shared" si="6"/>
        <v>1031945412.8853133</v>
      </c>
      <c r="I33" s="71">
        <f t="shared" si="6"/>
        <v>1014683661.7723022</v>
      </c>
      <c r="J33" s="71">
        <f t="shared" si="6"/>
        <v>996065137.02180839</v>
      </c>
      <c r="K33" s="71">
        <f t="shared" si="6"/>
        <v>975983196.2259258</v>
      </c>
      <c r="L33" s="71">
        <f t="shared" si="6"/>
        <v>954322814.88348687</v>
      </c>
      <c r="M33" s="71">
        <f t="shared" si="6"/>
        <v>930959927.56753218</v>
      </c>
      <c r="N33" s="71">
        <f t="shared" si="6"/>
        <v>905760717.30854344</v>
      </c>
      <c r="O33" s="71">
        <f t="shared" si="6"/>
        <v>878580849.12319815</v>
      </c>
      <c r="P33" s="71">
        <f t="shared" si="6"/>
        <v>849264643.2984848</v>
      </c>
      <c r="Q33" s="71">
        <f t="shared" si="6"/>
        <v>817644183.69594896</v>
      </c>
      <c r="R33" s="71">
        <f t="shared" si="6"/>
        <v>783538355.9686538</v>
      </c>
      <c r="S33" s="71">
        <f t="shared" si="6"/>
        <v>746751810.18199325</v>
      </c>
      <c r="T33" s="71">
        <f t="shared" si="6"/>
        <v>707073841.89650118</v>
      </c>
      <c r="U33" s="71">
        <f t="shared" si="6"/>
        <v>664277185.30376935</v>
      </c>
      <c r="V33" s="71">
        <f t="shared" si="6"/>
        <v>618116711.50284886</v>
      </c>
      <c r="W33" s="71">
        <f t="shared" si="6"/>
        <v>568328024.46117604</v>
      </c>
      <c r="X33" s="71">
        <f t="shared" si="6"/>
        <v>514625946.61802769</v>
      </c>
      <c r="Y33" s="71">
        <f t="shared" si="6"/>
        <v>456702885.4564079</v>
      </c>
      <c r="Z33" s="71">
        <f t="shared" si="6"/>
        <v>394227071.6874848</v>
      </c>
      <c r="AA33" s="71">
        <f t="shared" si="6"/>
        <v>326840658.95632434</v>
      </c>
      <c r="AB33" s="71">
        <f t="shared" si="6"/>
        <v>254157674.18449464</v>
      </c>
      <c r="AC33" s="71">
        <f t="shared" si="6"/>
        <v>175761806.80959913</v>
      </c>
      <c r="AD33" s="71">
        <f t="shared" si="6"/>
        <v>91204024.259036824</v>
      </c>
      <c r="AE33" s="71">
        <f t="shared" si="6"/>
        <v>3.2782554626464844E-7</v>
      </c>
      <c r="BO33" s="141"/>
      <c r="BP33" s="141"/>
      <c r="BQ33" s="141"/>
      <c r="BR33" s="141"/>
      <c r="BS33" s="141"/>
      <c r="BT33" s="141"/>
      <c r="BU33" s="141"/>
      <c r="BV33" s="141"/>
      <c r="BW33" s="141"/>
      <c r="BX33" s="141"/>
    </row>
    <row r="34" spans="1:76">
      <c r="A34" s="27"/>
      <c r="B34" s="26" t="s">
        <v>32</v>
      </c>
      <c r="C34" s="27"/>
      <c r="D34" s="71">
        <f t="shared" si="3"/>
        <v>-1151037344.4402239</v>
      </c>
      <c r="E34" s="71"/>
      <c r="F34" s="71">
        <f>F30*F26</f>
        <v>-64501562.859471537</v>
      </c>
      <c r="G34" s="71">
        <f t="shared" ref="G34:AE34" si="7">G30*G26</f>
        <v>-62441009.544502944</v>
      </c>
      <c r="H34" s="71">
        <f t="shared" si="7"/>
        <v>-60446282.230883785</v>
      </c>
      <c r="I34" s="71">
        <f t="shared" si="7"/>
        <v>-58515278.0550666</v>
      </c>
      <c r="J34" s="71">
        <f t="shared" si="7"/>
        <v>-56645961.331139013</v>
      </c>
      <c r="K34" s="71">
        <f t="shared" si="7"/>
        <v>-54836361.404781245</v>
      </c>
      <c r="L34" s="71">
        <f t="shared" si="7"/>
        <v>-53084570.575780496</v>
      </c>
      <c r="M34" s="71">
        <f t="shared" si="7"/>
        <v>-51388742.086912394</v>
      </c>
      <c r="N34" s="71">
        <f t="shared" si="7"/>
        <v>-49747088.177069105</v>
      </c>
      <c r="O34" s="71">
        <f t="shared" si="7"/>
        <v>-48157878.196581915</v>
      </c>
      <c r="P34" s="71">
        <f t="shared" si="7"/>
        <v>-46619436.782751136</v>
      </c>
      <c r="Q34" s="71">
        <f t="shared" si="7"/>
        <v>-45130142.093660355</v>
      </c>
      <c r="R34" s="71">
        <f t="shared" si="7"/>
        <v>-43688424.09841273</v>
      </c>
      <c r="S34" s="71">
        <f t="shared" si="7"/>
        <v>-42292762.921987168</v>
      </c>
      <c r="T34" s="71">
        <f t="shared" si="7"/>
        <v>-40941687.242969178</v>
      </c>
      <c r="U34" s="71">
        <f t="shared" si="7"/>
        <v>-39633772.742467754</v>
      </c>
      <c r="V34" s="71">
        <f t="shared" si="7"/>
        <v>-38367640.602582529</v>
      </c>
      <c r="W34" s="71">
        <f t="shared" si="7"/>
        <v>-37141956.052838862</v>
      </c>
      <c r="X34" s="71">
        <f t="shared" si="7"/>
        <v>-35955426.96305795</v>
      </c>
      <c r="Y34" s="71">
        <f t="shared" si="7"/>
        <v>-34806802.481179044</v>
      </c>
      <c r="Z34" s="71">
        <f t="shared" si="7"/>
        <v>-33694871.714597329</v>
      </c>
      <c r="AA34" s="71">
        <f t="shared" si="7"/>
        <v>-32618462.453627631</v>
      </c>
      <c r="AB34" s="71">
        <f t="shared" si="7"/>
        <v>-31576439.935747948</v>
      </c>
      <c r="AC34" s="71">
        <f t="shared" si="7"/>
        <v>-30567705.649320379</v>
      </c>
      <c r="AD34" s="71">
        <f t="shared" si="7"/>
        <v>-29591196.175527956</v>
      </c>
      <c r="AE34" s="71">
        <f t="shared" si="7"/>
        <v>-28645882.067306835</v>
      </c>
      <c r="BO34" s="141"/>
      <c r="BP34" s="141"/>
      <c r="BQ34" s="141"/>
      <c r="BR34" s="141"/>
      <c r="BS34" s="141"/>
      <c r="BT34" s="141"/>
      <c r="BU34" s="141"/>
      <c r="BV34" s="141"/>
      <c r="BW34" s="141"/>
      <c r="BX34" s="141"/>
    </row>
    <row r="35" spans="1:76">
      <c r="A35" s="27"/>
      <c r="B35" s="27"/>
      <c r="C35" s="27" t="s">
        <v>29</v>
      </c>
      <c r="D35" s="71">
        <f t="shared" si="3"/>
        <v>-423867866.42980021</v>
      </c>
      <c r="E35" s="71"/>
      <c r="F35" s="71">
        <f>F31*F26</f>
        <v>-9019852.2343735676</v>
      </c>
      <c r="G35" s="71">
        <f t="shared" ref="G35:AE35" si="8">G31*G26</f>
        <v>-9418018.0251648892</v>
      </c>
      <c r="H35" s="71">
        <f t="shared" si="8"/>
        <v>-9833760.1567694582</v>
      </c>
      <c r="I35" s="71">
        <f t="shared" si="8"/>
        <v>-10267854.50638097</v>
      </c>
      <c r="J35" s="71">
        <f t="shared" si="8"/>
        <v>-10721111.200951127</v>
      </c>
      <c r="K35" s="71">
        <f t="shared" si="8"/>
        <v>-11194376.129086049</v>
      </c>
      <c r="L35" s="71">
        <f t="shared" si="8"/>
        <v>-11688532.519682683</v>
      </c>
      <c r="M35" s="71">
        <f t="shared" si="8"/>
        <v>-12204502.590251448</v>
      </c>
      <c r="N35" s="71">
        <f t="shared" si="8"/>
        <v>-12743249.268001169</v>
      </c>
      <c r="O35" s="71">
        <f t="shared" si="8"/>
        <v>-13305777.986898417</v>
      </c>
      <c r="P35" s="71">
        <f t="shared" si="8"/>
        <v>-13893138.564054826</v>
      </c>
      <c r="Q35" s="71">
        <f t="shared" si="8"/>
        <v>-14506427.158944376</v>
      </c>
      <c r="R35" s="71">
        <f t="shared" si="8"/>
        <v>-15146788.319106879</v>
      </c>
      <c r="S35" s="71">
        <f t="shared" si="8"/>
        <v>-15815417.116155548</v>
      </c>
      <c r="T35" s="71">
        <f t="shared" si="8"/>
        <v>-16513561.376074901</v>
      </c>
      <c r="U35" s="71">
        <f t="shared" si="8"/>
        <v>-17242524.007971339</v>
      </c>
      <c r="V35" s="71">
        <f t="shared" si="8"/>
        <v>-18003665.435622349</v>
      </c>
      <c r="W35" s="71">
        <f t="shared" si="8"/>
        <v>-18798406.13636231</v>
      </c>
      <c r="X35" s="71">
        <f t="shared" si="8"/>
        <v>-19628229.292042974</v>
      </c>
      <c r="Y35" s="71">
        <f t="shared" si="8"/>
        <v>-20494683.557016023</v>
      </c>
      <c r="Z35" s="71">
        <f t="shared" si="8"/>
        <v>-21399385.948303472</v>
      </c>
      <c r="AA35" s="71">
        <f t="shared" si="8"/>
        <v>-22344024.863349594</v>
      </c>
      <c r="AB35" s="71">
        <f t="shared" si="8"/>
        <v>-23330363.230986323</v>
      </c>
      <c r="AC35" s="71">
        <f t="shared" si="8"/>
        <v>-24360241.801492598</v>
      </c>
      <c r="AD35" s="71">
        <f t="shared" si="8"/>
        <v>-25435582.581887625</v>
      </c>
      <c r="AE35" s="71">
        <f t="shared" si="8"/>
        <v>-26558392.422869306</v>
      </c>
      <c r="BO35" s="141"/>
      <c r="BP35" s="141"/>
      <c r="BQ35" s="141"/>
      <c r="BR35" s="141"/>
      <c r="BS35" s="141"/>
      <c r="BT35" s="141"/>
      <c r="BU35" s="141"/>
      <c r="BV35" s="141"/>
      <c r="BW35" s="141"/>
      <c r="BX35" s="141"/>
    </row>
    <row r="36" spans="1:76">
      <c r="A36" s="27"/>
      <c r="B36" s="27"/>
      <c r="C36" s="27" t="s">
        <v>30</v>
      </c>
      <c r="D36" s="71">
        <f t="shared" si="3"/>
        <v>-727169478.01042354</v>
      </c>
      <c r="E36" s="71"/>
      <c r="F36" s="71">
        <f>F32*F26</f>
        <v>-55481710.625097968</v>
      </c>
      <c r="G36" s="71">
        <f t="shared" ref="G36:AE36" si="9">G32*G26</f>
        <v>-53022991.519338056</v>
      </c>
      <c r="H36" s="71">
        <f t="shared" si="9"/>
        <v>-50612522.074114323</v>
      </c>
      <c r="I36" s="71">
        <f t="shared" si="9"/>
        <v>-48247423.548685633</v>
      </c>
      <c r="J36" s="71">
        <f t="shared" si="9"/>
        <v>-45924850.130187899</v>
      </c>
      <c r="K36" s="71">
        <f t="shared" si="9"/>
        <v>-43641985.275695197</v>
      </c>
      <c r="L36" s="71">
        <f t="shared" si="9"/>
        <v>-41396038.056097806</v>
      </c>
      <c r="M36" s="71">
        <f t="shared" si="9"/>
        <v>-39184239.496660948</v>
      </c>
      <c r="N36" s="71">
        <f t="shared" si="9"/>
        <v>-37003838.909067944</v>
      </c>
      <c r="O36" s="71">
        <f t="shared" si="9"/>
        <v>-34852100.2096835</v>
      </c>
      <c r="P36" s="71">
        <f t="shared" si="9"/>
        <v>-32726298.218696307</v>
      </c>
      <c r="Q36" s="71">
        <f t="shared" si="9"/>
        <v>-30623714.934715979</v>
      </c>
      <c r="R36" s="71">
        <f t="shared" si="9"/>
        <v>-28541635.779305853</v>
      </c>
      <c r="S36" s="71">
        <f t="shared" si="9"/>
        <v>-26477345.805831619</v>
      </c>
      <c r="T36" s="71">
        <f t="shared" si="9"/>
        <v>-24428125.866894279</v>
      </c>
      <c r="U36" s="71">
        <f t="shared" si="9"/>
        <v>-22391248.734496411</v>
      </c>
      <c r="V36" s="71">
        <f t="shared" si="9"/>
        <v>-20363975.16696018</v>
      </c>
      <c r="W36" s="71">
        <f t="shared" si="9"/>
        <v>-18343549.916476548</v>
      </c>
      <c r="X36" s="71">
        <f t="shared" si="9"/>
        <v>-16327197.671014972</v>
      </c>
      <c r="Y36" s="71">
        <f t="shared" si="9"/>
        <v>-14312118.924163016</v>
      </c>
      <c r="Z36" s="71">
        <f t="shared" si="9"/>
        <v>-12295485.766293859</v>
      </c>
      <c r="AA36" s="71">
        <f t="shared" si="9"/>
        <v>-10274437.590278035</v>
      </c>
      <c r="AB36" s="71">
        <f t="shared" si="9"/>
        <v>-8246076.7047616225</v>
      </c>
      <c r="AC36" s="71">
        <f t="shared" si="9"/>
        <v>-6207463.8478277819</v>
      </c>
      <c r="AD36" s="71">
        <f t="shared" si="9"/>
        <v>-4155613.593640333</v>
      </c>
      <c r="AE36" s="71">
        <f t="shared" si="9"/>
        <v>-2087489.6444375277</v>
      </c>
      <c r="BO36" s="141"/>
      <c r="BP36" s="141"/>
      <c r="BQ36" s="141"/>
      <c r="BR36" s="141"/>
      <c r="BS36" s="141"/>
      <c r="BT36" s="141"/>
      <c r="BU36" s="141"/>
      <c r="BV36" s="141"/>
      <c r="BW36" s="141"/>
      <c r="BX36" s="141"/>
    </row>
    <row r="37" spans="1:76">
      <c r="BO37" s="141"/>
      <c r="BP37" s="141"/>
      <c r="BQ37" s="141"/>
      <c r="BR37" s="141"/>
      <c r="BS37" s="141"/>
      <c r="BT37" s="141"/>
      <c r="BU37" s="141"/>
      <c r="BV37" s="141"/>
      <c r="BW37" s="141"/>
      <c r="BX37" s="141"/>
    </row>
    <row r="38" spans="1:76" ht="21">
      <c r="A38" s="29" t="s">
        <v>33</v>
      </c>
      <c r="B38" s="30"/>
      <c r="C38" s="30"/>
      <c r="D38" s="30"/>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141"/>
      <c r="BQ38" s="141"/>
      <c r="BR38" s="141"/>
      <c r="BS38" s="141"/>
      <c r="BT38" s="141"/>
      <c r="BU38" s="141"/>
      <c r="BV38" s="141"/>
      <c r="BW38" s="141"/>
      <c r="BX38" s="141"/>
    </row>
    <row r="39" spans="1:76">
      <c r="A39" s="36" t="s">
        <v>150</v>
      </c>
      <c r="B39" s="44"/>
      <c r="C39" s="37"/>
      <c r="D39" s="37"/>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141"/>
      <c r="BQ39" s="141"/>
      <c r="BR39" s="141"/>
      <c r="BS39" s="141"/>
      <c r="BT39" s="141"/>
      <c r="BU39" s="141"/>
      <c r="BV39" s="141"/>
      <c r="BW39" s="141"/>
      <c r="BX39" s="141"/>
    </row>
    <row r="40" spans="1:76">
      <c r="A40" s="140" t="s">
        <v>24</v>
      </c>
      <c r="B40" s="141"/>
      <c r="C40" s="142"/>
      <c r="D40" s="142"/>
      <c r="E40" s="141" t="s">
        <v>25</v>
      </c>
      <c r="F40" s="141" t="s">
        <v>25</v>
      </c>
      <c r="G40" s="141" t="s">
        <v>25</v>
      </c>
      <c r="H40" s="141" t="s">
        <v>25</v>
      </c>
      <c r="I40" s="141" t="s">
        <v>25</v>
      </c>
      <c r="J40" s="141" t="s">
        <v>25</v>
      </c>
      <c r="K40" s="141" t="s">
        <v>25</v>
      </c>
      <c r="L40" s="141" t="s">
        <v>25</v>
      </c>
      <c r="M40" s="141" t="s">
        <v>25</v>
      </c>
      <c r="N40" s="141" t="s">
        <v>25</v>
      </c>
      <c r="O40" s="141" t="s">
        <v>25</v>
      </c>
      <c r="P40" s="141" t="s">
        <v>25</v>
      </c>
      <c r="Q40" s="141" t="s">
        <v>25</v>
      </c>
      <c r="R40" s="141" t="s">
        <v>25</v>
      </c>
      <c r="S40" s="141" t="s">
        <v>25</v>
      </c>
      <c r="T40" s="141" t="s">
        <v>25</v>
      </c>
      <c r="U40" s="141" t="s">
        <v>25</v>
      </c>
      <c r="V40" s="141" t="s">
        <v>25</v>
      </c>
      <c r="W40" s="141" t="s">
        <v>25</v>
      </c>
      <c r="X40" s="141" t="s">
        <v>25</v>
      </c>
      <c r="Y40" s="141" t="s">
        <v>25</v>
      </c>
      <c r="Z40" s="141" t="s">
        <v>25</v>
      </c>
      <c r="AA40" s="141" t="s">
        <v>25</v>
      </c>
      <c r="AB40" s="141" t="s">
        <v>25</v>
      </c>
      <c r="AC40" s="141" t="s">
        <v>25</v>
      </c>
      <c r="AD40" s="141" t="s">
        <v>25</v>
      </c>
      <c r="AE40" t="s">
        <v>25</v>
      </c>
      <c r="AF40" t="s">
        <v>25</v>
      </c>
      <c r="AG40" t="s">
        <v>25</v>
      </c>
      <c r="AH40" t="s">
        <v>25</v>
      </c>
      <c r="AI40" t="s">
        <v>25</v>
      </c>
      <c r="AJ40" t="s">
        <v>25</v>
      </c>
      <c r="AK40" t="s">
        <v>25</v>
      </c>
      <c r="AL40" t="s">
        <v>25</v>
      </c>
      <c r="AM40" t="s">
        <v>25</v>
      </c>
      <c r="AN40" t="s">
        <v>25</v>
      </c>
      <c r="AO40" s="141">
        <v>1</v>
      </c>
      <c r="AP40" s="141">
        <v>2</v>
      </c>
      <c r="AQ40" s="141">
        <v>3</v>
      </c>
      <c r="AR40" s="141">
        <v>4</v>
      </c>
      <c r="AS40" s="141">
        <v>5</v>
      </c>
      <c r="AT40" s="141">
        <v>6</v>
      </c>
      <c r="AU40" s="141">
        <v>7</v>
      </c>
      <c r="AV40" s="141">
        <v>8</v>
      </c>
      <c r="AW40" s="141">
        <v>9</v>
      </c>
      <c r="AX40" s="141">
        <v>10</v>
      </c>
      <c r="AY40" s="141">
        <v>11</v>
      </c>
      <c r="AZ40" s="141">
        <v>12</v>
      </c>
      <c r="BA40" s="141">
        <v>13</v>
      </c>
      <c r="BB40" s="141">
        <v>14</v>
      </c>
      <c r="BC40" s="141">
        <v>15</v>
      </c>
      <c r="BD40" s="141">
        <v>16</v>
      </c>
      <c r="BE40" s="141">
        <v>17</v>
      </c>
      <c r="BF40" s="141">
        <v>18</v>
      </c>
      <c r="BG40" s="141">
        <v>19</v>
      </c>
      <c r="BH40" s="141">
        <v>20</v>
      </c>
      <c r="BI40" s="141">
        <v>21</v>
      </c>
      <c r="BJ40" s="141">
        <v>22</v>
      </c>
      <c r="BK40" s="141">
        <v>23</v>
      </c>
      <c r="BL40" s="141">
        <v>24</v>
      </c>
      <c r="BM40" s="141">
        <v>25</v>
      </c>
      <c r="BN40" s="141">
        <v>26</v>
      </c>
      <c r="BO40" s="141">
        <v>27</v>
      </c>
      <c r="BP40" s="141"/>
      <c r="BQ40" s="141"/>
      <c r="BR40" s="141"/>
      <c r="BS40" s="141"/>
      <c r="BT40" s="141"/>
      <c r="BU40" s="141"/>
      <c r="BV40" s="141"/>
      <c r="BW40" s="141"/>
      <c r="BX40" s="141"/>
    </row>
    <row r="41" spans="1:76">
      <c r="A41" s="41"/>
      <c r="B41" s="26" t="s">
        <v>28</v>
      </c>
      <c r="C41" s="27"/>
      <c r="D41" s="71">
        <f>SUM(F41:BO41)</f>
        <v>-605243954.5042448</v>
      </c>
      <c r="AO41" s="71">
        <f>PMT($D$15,$D$19,$D$20)</f>
        <v>-22416442.759416487</v>
      </c>
      <c r="AP41" s="71">
        <f t="shared" ref="AP41:BO41" si="10">PMT($D$15,$D$19,$D$20)</f>
        <v>-22416442.759416487</v>
      </c>
      <c r="AQ41" s="71">
        <f t="shared" si="10"/>
        <v>-22416442.759416487</v>
      </c>
      <c r="AR41" s="71">
        <f t="shared" si="10"/>
        <v>-22416442.759416487</v>
      </c>
      <c r="AS41" s="71">
        <f t="shared" si="10"/>
        <v>-22416442.759416487</v>
      </c>
      <c r="AT41" s="71">
        <f t="shared" si="10"/>
        <v>-22416442.759416487</v>
      </c>
      <c r="AU41" s="71">
        <f t="shared" si="10"/>
        <v>-22416442.759416487</v>
      </c>
      <c r="AV41" s="71">
        <f t="shared" si="10"/>
        <v>-22416442.759416487</v>
      </c>
      <c r="AW41" s="71">
        <f t="shared" si="10"/>
        <v>-22416442.759416487</v>
      </c>
      <c r="AX41" s="71">
        <f t="shared" si="10"/>
        <v>-22416442.759416487</v>
      </c>
      <c r="AY41" s="71">
        <f t="shared" si="10"/>
        <v>-22416442.759416487</v>
      </c>
      <c r="AZ41" s="71">
        <f t="shared" si="10"/>
        <v>-22416442.759416487</v>
      </c>
      <c r="BA41" s="71">
        <f t="shared" si="10"/>
        <v>-22416442.759416487</v>
      </c>
      <c r="BB41" s="71">
        <f t="shared" si="10"/>
        <v>-22416442.759416487</v>
      </c>
      <c r="BC41" s="71">
        <f t="shared" si="10"/>
        <v>-22416442.759416487</v>
      </c>
      <c r="BD41" s="71">
        <f t="shared" si="10"/>
        <v>-22416442.759416487</v>
      </c>
      <c r="BE41" s="71">
        <f t="shared" si="10"/>
        <v>-22416442.759416487</v>
      </c>
      <c r="BF41" s="71">
        <f t="shared" si="10"/>
        <v>-22416442.759416487</v>
      </c>
      <c r="BG41" s="71">
        <f t="shared" si="10"/>
        <v>-22416442.759416487</v>
      </c>
      <c r="BH41" s="71">
        <f t="shared" si="10"/>
        <v>-22416442.759416487</v>
      </c>
      <c r="BI41" s="71">
        <f t="shared" si="10"/>
        <v>-22416442.759416487</v>
      </c>
      <c r="BJ41" s="71">
        <f t="shared" si="10"/>
        <v>-22416442.759416487</v>
      </c>
      <c r="BK41" s="71">
        <f t="shared" si="10"/>
        <v>-22416442.759416487</v>
      </c>
      <c r="BL41" s="71">
        <f t="shared" si="10"/>
        <v>-22416442.759416487</v>
      </c>
      <c r="BM41" s="71">
        <f t="shared" si="10"/>
        <v>-22416442.759416487</v>
      </c>
      <c r="BN41" s="71">
        <f t="shared" si="10"/>
        <v>-22416442.759416487</v>
      </c>
      <c r="BO41" s="71">
        <f t="shared" si="10"/>
        <v>-22416442.759416487</v>
      </c>
      <c r="BP41" s="155"/>
      <c r="BQ41" s="155"/>
      <c r="BR41" s="155"/>
      <c r="BS41" s="155"/>
      <c r="BT41" s="155"/>
      <c r="BU41" s="155"/>
      <c r="BV41" s="155"/>
      <c r="BW41" s="155"/>
      <c r="BX41" s="155"/>
    </row>
    <row r="42" spans="1:76">
      <c r="A42" s="41"/>
      <c r="B42" s="27"/>
      <c r="C42" s="27" t="s">
        <v>29</v>
      </c>
      <c r="D42" s="71">
        <f t="shared" ref="D42:D47" si="11">SUM(F42:BO42)</f>
        <v>-551971641</v>
      </c>
      <c r="AO42" s="71">
        <f>PPMT($D$15,AO$40,$D$19,$D$20)</f>
        <v>-18718232.764716487</v>
      </c>
      <c r="AP42" s="71">
        <f t="shared" ref="AP42:BO42" si="12">PPMT($D$15,AP$40,$D$19,$D$20)</f>
        <v>-18843644.924240086</v>
      </c>
      <c r="AQ42" s="71">
        <f t="shared" si="12"/>
        <v>-18969897.345232498</v>
      </c>
      <c r="AR42" s="71">
        <f t="shared" si="12"/>
        <v>-19096995.657445554</v>
      </c>
      <c r="AS42" s="71">
        <f t="shared" si="12"/>
        <v>-19224945.528350439</v>
      </c>
      <c r="AT42" s="71">
        <f t="shared" si="12"/>
        <v>-19353752.663390387</v>
      </c>
      <c r="AU42" s="71">
        <f t="shared" si="12"/>
        <v>-19483422.806235105</v>
      </c>
      <c r="AV42" s="71">
        <f t="shared" si="12"/>
        <v>-19613961.739036877</v>
      </c>
      <c r="AW42" s="71">
        <f t="shared" si="12"/>
        <v>-19745375.28268842</v>
      </c>
      <c r="AX42" s="71">
        <f t="shared" si="12"/>
        <v>-19877669.297082439</v>
      </c>
      <c r="AY42" s="71">
        <f t="shared" si="12"/>
        <v>-20010849.681372888</v>
      </c>
      <c r="AZ42" s="71">
        <f t="shared" si="12"/>
        <v>-20144922.374238089</v>
      </c>
      <c r="BA42" s="71">
        <f t="shared" si="12"/>
        <v>-20279893.354145482</v>
      </c>
      <c r="BB42" s="71">
        <f t="shared" si="12"/>
        <v>-20415768.639618259</v>
      </c>
      <c r="BC42" s="71">
        <f t="shared" si="12"/>
        <v>-20552554.289503701</v>
      </c>
      <c r="BD42" s="71">
        <f t="shared" si="12"/>
        <v>-20690256.403243374</v>
      </c>
      <c r="BE42" s="71">
        <f t="shared" si="12"/>
        <v>-20828881.121145107</v>
      </c>
      <c r="BF42" s="71">
        <f t="shared" si="12"/>
        <v>-20968434.624656778</v>
      </c>
      <c r="BG42" s="71">
        <f t="shared" si="12"/>
        <v>-21108923.136641979</v>
      </c>
      <c r="BH42" s="71">
        <f t="shared" si="12"/>
        <v>-21250352.92165748</v>
      </c>
      <c r="BI42" s="71">
        <f t="shared" si="12"/>
        <v>-21392730.286232583</v>
      </c>
      <c r="BJ42" s="71">
        <f t="shared" si="12"/>
        <v>-21536061.579150345</v>
      </c>
      <c r="BK42" s="71">
        <f t="shared" si="12"/>
        <v>-21680353.191730652</v>
      </c>
      <c r="BL42" s="71">
        <f t="shared" si="12"/>
        <v>-21825611.558115244</v>
      </c>
      <c r="BM42" s="71">
        <f t="shared" si="12"/>
        <v>-21971843.155554619</v>
      </c>
      <c r="BN42" s="71">
        <f t="shared" si="12"/>
        <v>-22119054.504696831</v>
      </c>
      <c r="BO42" s="71">
        <f t="shared" si="12"/>
        <v>-22267252.1698783</v>
      </c>
      <c r="BP42" s="155"/>
      <c r="BQ42" s="155"/>
      <c r="BR42" s="155"/>
      <c r="BS42" s="155"/>
      <c r="BT42" s="155"/>
      <c r="BU42" s="155"/>
      <c r="BV42" s="155"/>
      <c r="BW42" s="155"/>
      <c r="BX42" s="155"/>
    </row>
    <row r="43" spans="1:76">
      <c r="A43" s="41"/>
      <c r="B43" s="27"/>
      <c r="C43" s="27" t="s">
        <v>30</v>
      </c>
      <c r="D43" s="71">
        <f t="shared" si="11"/>
        <v>-53272313.504245147</v>
      </c>
      <c r="AO43" s="71">
        <f t="shared" ref="AO43:BO43" si="13">IPMT($D$15,AO$40,$D$19,$D$20)</f>
        <v>-3698209.9947000002</v>
      </c>
      <c r="AP43" s="71">
        <f t="shared" si="13"/>
        <v>-3572797.8351763999</v>
      </c>
      <c r="AQ43" s="71">
        <f t="shared" si="13"/>
        <v>-3446545.414183991</v>
      </c>
      <c r="AR43" s="71">
        <f t="shared" si="13"/>
        <v>-3319447.1019709334</v>
      </c>
      <c r="AS43" s="71">
        <f t="shared" si="13"/>
        <v>-3191497.2310660481</v>
      </c>
      <c r="AT43" s="71">
        <f t="shared" si="13"/>
        <v>-3062690.0960261002</v>
      </c>
      <c r="AU43" s="71">
        <f t="shared" si="13"/>
        <v>-2933019.9531813846</v>
      </c>
      <c r="AV43" s="71">
        <f t="shared" si="13"/>
        <v>-2802481.0203796099</v>
      </c>
      <c r="AW43" s="71">
        <f t="shared" si="13"/>
        <v>-2671067.4767280621</v>
      </c>
      <c r="AX43" s="71">
        <f t="shared" si="13"/>
        <v>-2538773.4623340499</v>
      </c>
      <c r="AY43" s="71">
        <f t="shared" si="13"/>
        <v>-2405593.0780435978</v>
      </c>
      <c r="AZ43" s="71">
        <f t="shared" si="13"/>
        <v>-2271520.3851783993</v>
      </c>
      <c r="BA43" s="71">
        <f t="shared" si="13"/>
        <v>-2136549.405271004</v>
      </c>
      <c r="BB43" s="71">
        <f t="shared" si="13"/>
        <v>-2000674.1197982288</v>
      </c>
      <c r="BC43" s="71">
        <f t="shared" si="13"/>
        <v>-1863888.4699127867</v>
      </c>
      <c r="BD43" s="71">
        <f t="shared" si="13"/>
        <v>-1726186.3561731121</v>
      </c>
      <c r="BE43" s="71">
        <f t="shared" si="13"/>
        <v>-1587561.6382713816</v>
      </c>
      <c r="BF43" s="71">
        <f t="shared" si="13"/>
        <v>-1448008.1347597095</v>
      </c>
      <c r="BG43" s="71">
        <f t="shared" si="13"/>
        <v>-1307519.622774509</v>
      </c>
      <c r="BH43" s="71">
        <f t="shared" si="13"/>
        <v>-1166089.8377590075</v>
      </c>
      <c r="BI43" s="71">
        <f t="shared" si="13"/>
        <v>-1023712.4731839024</v>
      </c>
      <c r="BJ43" s="71">
        <f t="shared" si="13"/>
        <v>-880381.18026614434</v>
      </c>
      <c r="BK43" s="71">
        <f t="shared" si="13"/>
        <v>-736089.56768583704</v>
      </c>
      <c r="BL43" s="71">
        <f t="shared" si="13"/>
        <v>-590831.20130124153</v>
      </c>
      <c r="BM43" s="71">
        <f t="shared" si="13"/>
        <v>-444599.60386186937</v>
      </c>
      <c r="BN43" s="71">
        <f t="shared" si="13"/>
        <v>-297388.2547196534</v>
      </c>
      <c r="BO43" s="71">
        <f t="shared" si="13"/>
        <v>-149190.58953818463</v>
      </c>
      <c r="BP43" s="155"/>
      <c r="BQ43" s="155"/>
      <c r="BR43" s="155"/>
      <c r="BS43" s="155"/>
      <c r="BT43" s="155"/>
      <c r="BU43" s="155"/>
      <c r="BV43" s="155"/>
      <c r="BW43" s="155"/>
      <c r="BX43" s="155"/>
    </row>
    <row r="44" spans="1:76">
      <c r="A44" s="41"/>
      <c r="B44" s="33" t="s">
        <v>31</v>
      </c>
      <c r="C44" s="42"/>
      <c r="D44" s="71"/>
      <c r="AN44" s="130">
        <f>D20</f>
        <v>551971641</v>
      </c>
      <c r="AO44" s="71">
        <f>AN44+AO42</f>
        <v>533253408.23528349</v>
      </c>
      <c r="AP44" s="71">
        <f t="shared" ref="AP44:BO44" si="14">AO44+AP42</f>
        <v>514409763.31104338</v>
      </c>
      <c r="AQ44" s="71">
        <f t="shared" si="14"/>
        <v>495439865.96581089</v>
      </c>
      <c r="AR44" s="71">
        <f t="shared" si="14"/>
        <v>476342870.30836535</v>
      </c>
      <c r="AS44" s="71">
        <f t="shared" si="14"/>
        <v>457117924.78001493</v>
      </c>
      <c r="AT44" s="71">
        <f t="shared" si="14"/>
        <v>437764172.11662453</v>
      </c>
      <c r="AU44" s="71">
        <f t="shared" si="14"/>
        <v>418280749.3103894</v>
      </c>
      <c r="AV44" s="71">
        <f t="shared" si="14"/>
        <v>398666787.57135254</v>
      </c>
      <c r="AW44" s="71">
        <f t="shared" si="14"/>
        <v>378921412.2886641</v>
      </c>
      <c r="AX44" s="71">
        <f t="shared" si="14"/>
        <v>359043742.99158168</v>
      </c>
      <c r="AY44" s="71">
        <f t="shared" si="14"/>
        <v>339032893.3102088</v>
      </c>
      <c r="AZ44" s="71">
        <f t="shared" si="14"/>
        <v>318887970.93597072</v>
      </c>
      <c r="BA44" s="71">
        <f t="shared" si="14"/>
        <v>298608077.58182526</v>
      </c>
      <c r="BB44" s="71">
        <f t="shared" si="14"/>
        <v>278192308.94220698</v>
      </c>
      <c r="BC44" s="71">
        <f t="shared" si="14"/>
        <v>257639754.65270329</v>
      </c>
      <c r="BD44" s="71">
        <f t="shared" si="14"/>
        <v>236949498.24945992</v>
      </c>
      <c r="BE44" s="71">
        <f t="shared" si="14"/>
        <v>216120617.12831482</v>
      </c>
      <c r="BF44" s="71">
        <f t="shared" si="14"/>
        <v>195152182.50365806</v>
      </c>
      <c r="BG44" s="71">
        <f t="shared" si="14"/>
        <v>174043259.36701608</v>
      </c>
      <c r="BH44" s="71">
        <f t="shared" si="14"/>
        <v>152792906.4453586</v>
      </c>
      <c r="BI44" s="71">
        <f t="shared" si="14"/>
        <v>131400176.15912601</v>
      </c>
      <c r="BJ44" s="71">
        <f t="shared" si="14"/>
        <v>109864114.57997566</v>
      </c>
      <c r="BK44" s="71">
        <f t="shared" si="14"/>
        <v>88183761.388245016</v>
      </c>
      <c r="BL44" s="71">
        <f t="shared" si="14"/>
        <v>66358149.830129772</v>
      </c>
      <c r="BM44" s="71">
        <f t="shared" si="14"/>
        <v>44386306.67457515</v>
      </c>
      <c r="BN44" s="71">
        <f t="shared" si="14"/>
        <v>22267252.169878319</v>
      </c>
      <c r="BO44" s="71">
        <f t="shared" si="14"/>
        <v>0</v>
      </c>
      <c r="BP44" s="155"/>
      <c r="BQ44" s="155"/>
      <c r="BR44" s="155"/>
      <c r="BS44" s="155"/>
      <c r="BT44" s="155"/>
      <c r="BU44" s="155"/>
      <c r="BV44" s="155"/>
      <c r="BW44" s="155"/>
      <c r="BX44" s="155"/>
    </row>
    <row r="45" spans="1:76" ht="21">
      <c r="A45" s="43"/>
      <c r="B45" s="26" t="s">
        <v>32</v>
      </c>
      <c r="C45" s="27"/>
      <c r="D45" s="71">
        <f t="shared" si="11"/>
        <v>-86220275.052058309</v>
      </c>
      <c r="AO45" s="71">
        <f>AO41*AO26</f>
        <v>-4717927.5025936943</v>
      </c>
      <c r="AP45" s="71">
        <f t="shared" ref="AP45:BO45" si="15">AP41*AP26</f>
        <v>-4567209.5862475261</v>
      </c>
      <c r="AQ45" s="71">
        <f t="shared" si="15"/>
        <v>-4421306.4726500744</v>
      </c>
      <c r="AR45" s="71">
        <f t="shared" si="15"/>
        <v>-4280064.3491288237</v>
      </c>
      <c r="AS45" s="71">
        <f t="shared" si="15"/>
        <v>-4143334.3166784355</v>
      </c>
      <c r="AT45" s="71">
        <f t="shared" si="15"/>
        <v>-4010972.2329897732</v>
      </c>
      <c r="AU45" s="71">
        <f t="shared" si="15"/>
        <v>-3882838.5604934888</v>
      </c>
      <c r="AV45" s="71">
        <f t="shared" si="15"/>
        <v>-3758798.2192579759</v>
      </c>
      <c r="AW45" s="71">
        <f t="shared" si="15"/>
        <v>-3638720.4445866188</v>
      </c>
      <c r="AX45" s="71">
        <f t="shared" si="15"/>
        <v>-3522478.6491641998</v>
      </c>
      <c r="AY45" s="71">
        <f t="shared" si="15"/>
        <v>-3409950.289607164</v>
      </c>
      <c r="AZ45" s="71">
        <f t="shared" si="15"/>
        <v>-3301016.7372770221</v>
      </c>
      <c r="BA45" s="71">
        <f t="shared" si="15"/>
        <v>-3195563.1532207392</v>
      </c>
      <c r="BB45" s="71">
        <f t="shared" si="15"/>
        <v>-3093478.3671062328</v>
      </c>
      <c r="BC45" s="71">
        <f t="shared" si="15"/>
        <v>-2994654.7600253955</v>
      </c>
      <c r="BD45" s="71">
        <f t="shared" si="15"/>
        <v>-2898988.1510410411</v>
      </c>
      <c r="BE45" s="71">
        <f t="shared" si="15"/>
        <v>-2806377.6873582206</v>
      </c>
      <c r="BF45" s="71">
        <f t="shared" si="15"/>
        <v>-2716725.7380040856</v>
      </c>
      <c r="BG45" s="71">
        <f t="shared" si="15"/>
        <v>-2629937.7909042467</v>
      </c>
      <c r="BH45" s="71">
        <f t="shared" si="15"/>
        <v>-2545922.3532470926</v>
      </c>
      <c r="BI45" s="71">
        <f t="shared" si="15"/>
        <v>-2464590.855031067</v>
      </c>
      <c r="BJ45" s="71">
        <f t="shared" si="15"/>
        <v>-2385857.5556931919</v>
      </c>
      <c r="BK45" s="71">
        <f t="shared" si="15"/>
        <v>-2309639.4537204187</v>
      </c>
      <c r="BL45" s="71">
        <f t="shared" si="15"/>
        <v>-2235856.199148518</v>
      </c>
      <c r="BM45" s="71">
        <f t="shared" si="15"/>
        <v>-2164430.0088562616</v>
      </c>
      <c r="BN45" s="71">
        <f t="shared" si="15"/>
        <v>-2095285.5845655969</v>
      </c>
      <c r="BO45" s="71">
        <f t="shared" si="15"/>
        <v>-2028350.0334613724</v>
      </c>
      <c r="BP45" s="155"/>
      <c r="BQ45" s="155"/>
      <c r="BR45" s="155"/>
      <c r="BS45" s="155"/>
      <c r="BT45" s="155"/>
      <c r="BU45" s="155"/>
      <c r="BV45" s="155"/>
      <c r="BW45" s="155"/>
      <c r="BX45" s="155"/>
    </row>
    <row r="46" spans="1:76">
      <c r="A46" s="27"/>
      <c r="B46" s="27"/>
      <c r="C46" s="27" t="s">
        <v>29</v>
      </c>
      <c r="D46" s="71">
        <f t="shared" si="11"/>
        <v>-77613357.235634789</v>
      </c>
      <c r="AO46" s="71">
        <f>AO42*AO26</f>
        <v>-3939575.3424574626</v>
      </c>
      <c r="AP46" s="71">
        <f t="shared" ref="AP46:BO46" si="16">AP42*AP26</f>
        <v>-3839274.4407085455</v>
      </c>
      <c r="AQ46" s="71">
        <f t="shared" si="16"/>
        <v>-3741527.1824407494</v>
      </c>
      <c r="AR46" s="71">
        <f t="shared" si="16"/>
        <v>-3646268.5523360139</v>
      </c>
      <c r="AS46" s="71">
        <f t="shared" si="16"/>
        <v>-3553435.1903549521</v>
      </c>
      <c r="AT46" s="71">
        <f t="shared" si="16"/>
        <v>-3462965.3495937367</v>
      </c>
      <c r="AU46" s="71">
        <f t="shared" si="16"/>
        <v>-3374798.8552139555</v>
      </c>
      <c r="AV46" s="71">
        <f t="shared" si="16"/>
        <v>-3288877.0644180919</v>
      </c>
      <c r="AW46" s="71">
        <f t="shared" si="16"/>
        <v>-3205142.8274440402</v>
      </c>
      <c r="AX46" s="71">
        <f t="shared" si="16"/>
        <v>-3123540.4495526776</v>
      </c>
      <c r="AY46" s="71">
        <f t="shared" si="16"/>
        <v>-3044015.653983234</v>
      </c>
      <c r="AZ46" s="71">
        <f t="shared" si="16"/>
        <v>-2966515.5458518118</v>
      </c>
      <c r="BA46" s="71">
        <f t="shared" si="16"/>
        <v>-2890988.5769690415</v>
      </c>
      <c r="BB46" s="71">
        <f t="shared" si="16"/>
        <v>-2817384.5115534696</v>
      </c>
      <c r="BC46" s="71">
        <f t="shared" si="16"/>
        <v>-2745654.3928178879</v>
      </c>
      <c r="BD46" s="71">
        <f t="shared" si="16"/>
        <v>-2675750.5104063582</v>
      </c>
      <c r="BE46" s="71">
        <f t="shared" si="16"/>
        <v>-2607626.3686602917</v>
      </c>
      <c r="BF46" s="71">
        <f t="shared" si="16"/>
        <v>-2541236.6556924642</v>
      </c>
      <c r="BG46" s="71">
        <f t="shared" si="16"/>
        <v>-2476537.2132484075</v>
      </c>
      <c r="BH46" s="71">
        <f t="shared" si="16"/>
        <v>-2413485.0073351129</v>
      </c>
      <c r="BI46" s="71">
        <f t="shared" si="16"/>
        <v>-2352038.0995975393</v>
      </c>
      <c r="BJ46" s="71">
        <f t="shared" si="16"/>
        <v>-2292155.619423856</v>
      </c>
      <c r="BK46" s="71">
        <f t="shared" si="16"/>
        <v>-2233797.7367608869</v>
      </c>
      <c r="BL46" s="71">
        <f t="shared" si="16"/>
        <v>-2176925.6356216697</v>
      </c>
      <c r="BM46" s="71">
        <f t="shared" si="16"/>
        <v>-2121501.4882675079</v>
      </c>
      <c r="BN46" s="71">
        <f t="shared" si="16"/>
        <v>-2067488.4300473377</v>
      </c>
      <c r="BO46" s="71">
        <f t="shared" si="16"/>
        <v>-2014850.5348776917</v>
      </c>
      <c r="BP46" s="155"/>
      <c r="BQ46" s="155"/>
      <c r="BR46" s="155"/>
      <c r="BS46" s="155"/>
      <c r="BT46" s="155"/>
      <c r="BU46" s="155"/>
      <c r="BV46" s="155"/>
      <c r="BW46" s="155"/>
      <c r="BX46" s="155"/>
    </row>
    <row r="47" spans="1:76">
      <c r="A47" s="27"/>
      <c r="B47" s="27"/>
      <c r="C47" s="27" t="s">
        <v>30</v>
      </c>
      <c r="D47" s="71">
        <f t="shared" si="11"/>
        <v>-8606917.8164234832</v>
      </c>
      <c r="AO47" s="71">
        <f>AO43*AO26</f>
        <v>-778352.16013623157</v>
      </c>
      <c r="AP47" s="71">
        <f t="shared" ref="AP47:BO47" si="17">AP43*AP26</f>
        <v>-727935.14553898037</v>
      </c>
      <c r="AQ47" s="71">
        <f t="shared" si="17"/>
        <v>-679779.29020932538</v>
      </c>
      <c r="AR47" s="71">
        <f t="shared" si="17"/>
        <v>-633795.79679280974</v>
      </c>
      <c r="AS47" s="71">
        <f t="shared" si="17"/>
        <v>-589899.12632348354</v>
      </c>
      <c r="AT47" s="71">
        <f t="shared" si="17"/>
        <v>-548006.88339603611</v>
      </c>
      <c r="AU47" s="71">
        <f t="shared" si="17"/>
        <v>-508039.70527953363</v>
      </c>
      <c r="AV47" s="71">
        <f t="shared" si="17"/>
        <v>-469921.15483988408</v>
      </c>
      <c r="AW47" s="71">
        <f t="shared" si="17"/>
        <v>-433577.61714257777</v>
      </c>
      <c r="AX47" s="71">
        <f t="shared" si="17"/>
        <v>-398938.19961152249</v>
      </c>
      <c r="AY47" s="71">
        <f t="shared" si="17"/>
        <v>-365934.63562392996</v>
      </c>
      <c r="AZ47" s="71">
        <f t="shared" si="17"/>
        <v>-334501.19142521033</v>
      </c>
      <c r="BA47" s="71">
        <f t="shared" si="17"/>
        <v>-304574.57625169726</v>
      </c>
      <c r="BB47" s="71">
        <f t="shared" si="17"/>
        <v>-276093.85555276339</v>
      </c>
      <c r="BC47" s="71">
        <f t="shared" si="17"/>
        <v>-249000.36720750749</v>
      </c>
      <c r="BD47" s="71">
        <f t="shared" si="17"/>
        <v>-223237.64063468314</v>
      </c>
      <c r="BE47" s="71">
        <f t="shared" si="17"/>
        <v>-198751.31869792892</v>
      </c>
      <c r="BF47" s="71">
        <f t="shared" si="17"/>
        <v>-175489.08231162149</v>
      </c>
      <c r="BG47" s="71">
        <f t="shared" si="17"/>
        <v>-153400.57765583933</v>
      </c>
      <c r="BH47" s="71">
        <f t="shared" si="17"/>
        <v>-132437.34591197962</v>
      </c>
      <c r="BI47" s="71">
        <f t="shared" si="17"/>
        <v>-112552.75543352797</v>
      </c>
      <c r="BJ47" s="71">
        <f t="shared" si="17"/>
        <v>-93701.93626933638</v>
      </c>
      <c r="BK47" s="71">
        <f t="shared" si="17"/>
        <v>-75841.716959532001</v>
      </c>
      <c r="BL47" s="71">
        <f t="shared" si="17"/>
        <v>-58930.563526848069</v>
      </c>
      <c r="BM47" s="71">
        <f t="shared" si="17"/>
        <v>-42928.520588754007</v>
      </c>
      <c r="BN47" s="71">
        <f t="shared" si="17"/>
        <v>-27797.154518259151</v>
      </c>
      <c r="BO47" s="71">
        <f t="shared" si="17"/>
        <v>-13499.498583680535</v>
      </c>
      <c r="BP47" s="155"/>
      <c r="BQ47" s="155"/>
      <c r="BR47" s="155"/>
      <c r="BS47" s="155"/>
      <c r="BT47" s="155"/>
      <c r="BU47" s="155"/>
      <c r="BV47" s="155"/>
      <c r="BW47" s="155"/>
      <c r="BX47" s="155"/>
    </row>
  </sheetData>
  <mergeCells count="5">
    <mergeCell ref="A3:D3"/>
    <mergeCell ref="F3:G3"/>
    <mergeCell ref="F8:G8"/>
    <mergeCell ref="A13:D13"/>
    <mergeCell ref="F14:G1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844F-75CA-524E-8AC3-928E6EBE25E5}">
  <sheetPr>
    <tabColor rgb="FF00B0F0"/>
  </sheetPr>
  <dimension ref="A1:AR47"/>
  <sheetViews>
    <sheetView workbookViewId="0">
      <selection activeCell="F10" sqref="F10"/>
    </sheetView>
  </sheetViews>
  <sheetFormatPr defaultColWidth="11.19921875" defaultRowHeight="15.6"/>
  <cols>
    <col min="3" max="3" width="24.796875" customWidth="1"/>
    <col min="4" max="4" width="15.796875" customWidth="1"/>
    <col min="5" max="5" width="24.19921875" customWidth="1"/>
    <col min="6" max="6" width="25.19921875" customWidth="1"/>
    <col min="7" max="43" width="15.796875" customWidth="1"/>
  </cols>
  <sheetData>
    <row r="1" spans="1:12" s="157" customFormat="1" ht="21">
      <c r="A1" s="158" t="s">
        <v>161</v>
      </c>
    </row>
    <row r="3" spans="1:12" ht="21">
      <c r="A3" s="347" t="s">
        <v>1</v>
      </c>
      <c r="B3" s="348"/>
      <c r="C3" s="348"/>
      <c r="D3" s="349"/>
      <c r="F3" s="321" t="s">
        <v>2</v>
      </c>
      <c r="G3" s="322"/>
    </row>
    <row r="4" spans="1:12">
      <c r="A4" s="55" t="s">
        <v>3</v>
      </c>
      <c r="B4" s="22"/>
      <c r="C4" s="22"/>
      <c r="D4" s="131">
        <f>Data!D34</f>
        <v>2004</v>
      </c>
      <c r="F4" s="6" t="s">
        <v>4</v>
      </c>
      <c r="G4" s="7">
        <f>D10</f>
        <v>2289598.21</v>
      </c>
    </row>
    <row r="5" spans="1:12">
      <c r="A5" s="4" t="s">
        <v>5</v>
      </c>
      <c r="B5" s="126"/>
      <c r="C5" s="126"/>
      <c r="D5" s="8">
        <f>Data!F34</f>
        <v>0</v>
      </c>
      <c r="F5" s="6" t="s">
        <v>6</v>
      </c>
      <c r="G5" s="9">
        <f>D30*-1</f>
        <v>2289598.21</v>
      </c>
    </row>
    <row r="6" spans="1:12">
      <c r="A6" s="4" t="s">
        <v>7</v>
      </c>
      <c r="B6" s="126"/>
      <c r="C6" s="126"/>
      <c r="D6" s="10">
        <f>Data!G34</f>
        <v>1.5</v>
      </c>
      <c r="F6" s="11" t="s">
        <v>8</v>
      </c>
      <c r="G6" s="12">
        <f>D34*-1</f>
        <v>1898190.8627610826</v>
      </c>
    </row>
    <row r="7" spans="1:12">
      <c r="A7" s="4" t="s">
        <v>9</v>
      </c>
      <c r="B7" s="126"/>
      <c r="C7" s="126"/>
      <c r="D7" s="10">
        <f>Data!E34</f>
        <v>6</v>
      </c>
      <c r="I7" s="258"/>
      <c r="J7" s="258"/>
      <c r="K7" s="258"/>
      <c r="L7" s="258"/>
    </row>
    <row r="8" spans="1:12">
      <c r="A8" s="4" t="s">
        <v>10</v>
      </c>
      <c r="B8" s="126"/>
      <c r="C8" s="126"/>
      <c r="D8" s="10">
        <v>2</v>
      </c>
      <c r="F8" s="321" t="s">
        <v>11</v>
      </c>
      <c r="G8" s="322"/>
      <c r="I8" s="288"/>
      <c r="J8" s="258"/>
      <c r="K8" s="258"/>
      <c r="L8" s="258"/>
    </row>
    <row r="9" spans="1:12">
      <c r="A9" s="4" t="s">
        <v>12</v>
      </c>
      <c r="B9" s="126"/>
      <c r="C9" s="126"/>
      <c r="D9" s="10">
        <f>(D7-D6)*2</f>
        <v>9</v>
      </c>
      <c r="F9" s="6" t="s">
        <v>4</v>
      </c>
      <c r="G9" s="7">
        <f>D10</f>
        <v>2289598.21</v>
      </c>
      <c r="I9" s="289"/>
      <c r="J9" s="258"/>
      <c r="K9" s="258"/>
      <c r="L9" s="258"/>
    </row>
    <row r="10" spans="1:12">
      <c r="A10" s="4" t="s">
        <v>162</v>
      </c>
      <c r="B10" s="126"/>
      <c r="C10" s="126"/>
      <c r="D10" s="175">
        <f>Data!B34</f>
        <v>2289598.21</v>
      </c>
      <c r="F10" s="6" t="s">
        <v>31</v>
      </c>
      <c r="G10" s="9">
        <f>D20</f>
        <v>2389446</v>
      </c>
      <c r="I10" s="290"/>
      <c r="J10" s="290"/>
      <c r="K10" s="290"/>
      <c r="L10" s="258"/>
    </row>
    <row r="11" spans="1:12">
      <c r="A11" s="13" t="s">
        <v>15</v>
      </c>
      <c r="B11" s="14"/>
      <c r="C11" s="14"/>
      <c r="D11" s="195">
        <v>4.7899999999999998E-2</v>
      </c>
      <c r="F11" s="6" t="s">
        <v>6</v>
      </c>
      <c r="G11" s="9">
        <f>D41*-1</f>
        <v>2389446</v>
      </c>
      <c r="I11" s="291"/>
      <c r="J11" s="291"/>
      <c r="K11" s="291"/>
      <c r="L11" s="258"/>
    </row>
    <row r="12" spans="1:12">
      <c r="F12" s="11" t="s">
        <v>8</v>
      </c>
      <c r="G12" s="12">
        <f>D45*-1</f>
        <v>1415996.6629496894</v>
      </c>
      <c r="I12" s="291"/>
      <c r="J12" s="291"/>
      <c r="K12" s="291"/>
      <c r="L12" s="258"/>
    </row>
    <row r="13" spans="1:12" ht="20.399999999999999">
      <c r="A13" s="354" t="s">
        <v>16</v>
      </c>
      <c r="B13" s="355"/>
      <c r="C13" s="355"/>
      <c r="D13" s="356"/>
      <c r="F13" s="16"/>
      <c r="I13" s="291"/>
      <c r="J13" s="291"/>
      <c r="K13" s="291"/>
      <c r="L13" s="258"/>
    </row>
    <row r="14" spans="1:12">
      <c r="A14" s="132" t="s">
        <v>17</v>
      </c>
      <c r="B14" s="133"/>
      <c r="C14" s="133"/>
      <c r="D14" s="134">
        <f>Data!H34</f>
        <v>2010</v>
      </c>
      <c r="F14" s="323" t="s">
        <v>109</v>
      </c>
      <c r="G14" s="324"/>
      <c r="I14" s="291"/>
      <c r="J14" s="291"/>
      <c r="K14" s="291"/>
      <c r="L14" s="258"/>
    </row>
    <row r="15" spans="1:12">
      <c r="A15" s="135" t="s">
        <v>5</v>
      </c>
      <c r="B15" s="136"/>
      <c r="C15" s="136"/>
      <c r="D15" s="145">
        <f>Data!N34</f>
        <v>0</v>
      </c>
      <c r="F15" s="121" t="s">
        <v>44</v>
      </c>
      <c r="G15" s="118" t="s">
        <v>45</v>
      </c>
      <c r="I15" s="291"/>
      <c r="J15" s="291"/>
      <c r="K15" s="291"/>
      <c r="L15" s="258"/>
    </row>
    <row r="16" spans="1:12">
      <c r="A16" s="135" t="s">
        <v>7</v>
      </c>
      <c r="B16" s="136"/>
      <c r="C16" s="136"/>
      <c r="D16" s="137">
        <f>Data!O34</f>
        <v>6</v>
      </c>
      <c r="F16" s="119">
        <f>(1-((D5/D8)/D21))*(1-(((1/((1+D21)^(D8*D6)))-(1/((1+D21)^(D8*D7))))/(D21*(D8*D7-D8*D6))))</f>
        <v>0.17566454747992089</v>
      </c>
      <c r="G16" s="122">
        <f>(1-((D15/D18)/D21))*(1-(((1/((1+D21)^(D18*D16)))-(1/((1+D21)^(D18*D17))))/(D21*(D18*D17-D18*D16))))+((D10-D20)/D10)</f>
        <v>0.3730681970020257</v>
      </c>
      <c r="I16" s="291"/>
      <c r="J16" s="292"/>
      <c r="K16" s="292"/>
      <c r="L16" s="258"/>
    </row>
    <row r="17" spans="1:43">
      <c r="A17" s="135" t="s">
        <v>9</v>
      </c>
      <c r="B17" s="136"/>
      <c r="C17" s="136"/>
      <c r="D17" s="137">
        <f>Data!M34</f>
        <v>16</v>
      </c>
      <c r="I17" s="258"/>
      <c r="J17" s="258"/>
      <c r="K17" s="258"/>
      <c r="L17" s="258"/>
    </row>
    <row r="18" spans="1:43">
      <c r="A18" s="135" t="s">
        <v>10</v>
      </c>
      <c r="B18" s="136"/>
      <c r="C18" s="136"/>
      <c r="D18" s="137">
        <v>2</v>
      </c>
      <c r="I18" s="258"/>
      <c r="J18" s="258"/>
      <c r="K18" s="258"/>
      <c r="L18" s="258"/>
    </row>
    <row r="19" spans="1:43">
      <c r="A19" s="135" t="s">
        <v>12</v>
      </c>
      <c r="B19" s="136"/>
      <c r="C19" s="136"/>
      <c r="D19" s="137">
        <f>(D17-D16)*D18</f>
        <v>20</v>
      </c>
      <c r="I19" s="258"/>
      <c r="J19" s="258"/>
      <c r="K19" s="258"/>
      <c r="L19" s="258"/>
    </row>
    <row r="20" spans="1:43">
      <c r="A20" s="135" t="s">
        <v>263</v>
      </c>
      <c r="B20" s="136"/>
      <c r="C20" s="136"/>
      <c r="D20" s="154">
        <f>Data!L34</f>
        <v>2389446</v>
      </c>
    </row>
    <row r="21" spans="1:43">
      <c r="A21" s="196" t="s">
        <v>187</v>
      </c>
      <c r="B21" s="14"/>
      <c r="C21" s="14"/>
      <c r="D21" s="195">
        <f>(1.05^0.5)-1</f>
        <v>2.4695076595959931E-2</v>
      </c>
    </row>
    <row r="23" spans="1:43" ht="62.4">
      <c r="A23" s="302" t="s">
        <v>43</v>
      </c>
      <c r="E23" s="53" t="s">
        <v>25</v>
      </c>
      <c r="N23" s="21" t="s">
        <v>213</v>
      </c>
      <c r="O23" s="21" t="s">
        <v>40</v>
      </c>
      <c r="AG23" s="51"/>
      <c r="AH23" s="21" t="s">
        <v>21</v>
      </c>
      <c r="AI23" s="141"/>
      <c r="AJ23" s="141"/>
      <c r="AK23" s="141"/>
      <c r="AL23" s="141"/>
      <c r="AM23" s="141"/>
      <c r="AN23" s="141"/>
      <c r="AO23" s="141"/>
      <c r="AP23" s="141"/>
      <c r="AQ23" s="51"/>
    </row>
    <row r="24" spans="1:43">
      <c r="A24" s="2" t="s">
        <v>23</v>
      </c>
      <c r="E24" s="139" t="s">
        <v>212</v>
      </c>
      <c r="F24" s="24">
        <v>38717</v>
      </c>
      <c r="G24" s="24">
        <v>38898</v>
      </c>
      <c r="H24" s="24">
        <v>39082</v>
      </c>
      <c r="I24" s="24">
        <v>39263</v>
      </c>
      <c r="J24" s="24">
        <v>39447</v>
      </c>
      <c r="K24" s="24">
        <v>39629</v>
      </c>
      <c r="L24" s="24">
        <v>39813</v>
      </c>
      <c r="M24" s="24">
        <v>39994</v>
      </c>
      <c r="N24" s="24">
        <v>40178</v>
      </c>
      <c r="O24" s="24">
        <v>40359</v>
      </c>
      <c r="P24" s="24">
        <v>40543</v>
      </c>
      <c r="Q24" s="24">
        <v>40724</v>
      </c>
      <c r="R24" s="24">
        <v>40908</v>
      </c>
      <c r="S24" s="24">
        <v>41090</v>
      </c>
      <c r="T24" s="24">
        <v>41274</v>
      </c>
      <c r="U24" s="24">
        <v>41455</v>
      </c>
      <c r="V24" s="24">
        <v>41639</v>
      </c>
      <c r="W24" s="24">
        <v>41820</v>
      </c>
      <c r="X24" s="24">
        <v>42004</v>
      </c>
      <c r="Y24" s="24">
        <v>42185</v>
      </c>
      <c r="Z24" s="24">
        <v>42369</v>
      </c>
      <c r="AA24" s="24">
        <v>42551</v>
      </c>
      <c r="AB24" s="24">
        <v>42735</v>
      </c>
      <c r="AC24" s="24">
        <v>42916</v>
      </c>
      <c r="AD24" s="24">
        <v>43100</v>
      </c>
      <c r="AE24" s="24">
        <v>43281</v>
      </c>
      <c r="AF24" s="24">
        <v>43465</v>
      </c>
      <c r="AG24" s="24">
        <v>43646</v>
      </c>
      <c r="AH24" s="24">
        <v>43830</v>
      </c>
      <c r="AI24" s="149"/>
      <c r="AJ24" s="149"/>
      <c r="AK24" s="149"/>
      <c r="AL24" s="149"/>
      <c r="AM24" s="149"/>
      <c r="AN24" s="149"/>
      <c r="AO24" s="149"/>
      <c r="AP24" s="149"/>
      <c r="AQ24" s="149"/>
    </row>
    <row r="25" spans="1:43">
      <c r="A25" s="2" t="s">
        <v>38</v>
      </c>
      <c r="F25">
        <v>4</v>
      </c>
      <c r="G25">
        <v>5</v>
      </c>
      <c r="H25">
        <v>6</v>
      </c>
      <c r="I25">
        <v>7</v>
      </c>
      <c r="J25">
        <v>8</v>
      </c>
      <c r="K25">
        <v>9</v>
      </c>
      <c r="L25">
        <v>10</v>
      </c>
      <c r="M25">
        <v>11</v>
      </c>
      <c r="N25">
        <v>12</v>
      </c>
      <c r="O25">
        <v>13</v>
      </c>
      <c r="P25">
        <v>14</v>
      </c>
      <c r="Q25">
        <v>15</v>
      </c>
      <c r="R25">
        <v>16</v>
      </c>
      <c r="S25">
        <v>17</v>
      </c>
      <c r="T25">
        <v>18</v>
      </c>
      <c r="U25">
        <v>19</v>
      </c>
      <c r="V25">
        <v>20</v>
      </c>
      <c r="W25">
        <v>21</v>
      </c>
      <c r="X25">
        <v>22</v>
      </c>
      <c r="Y25">
        <v>23</v>
      </c>
      <c r="Z25">
        <v>24</v>
      </c>
      <c r="AA25">
        <v>25</v>
      </c>
      <c r="AB25">
        <v>26</v>
      </c>
      <c r="AC25">
        <v>27</v>
      </c>
      <c r="AD25">
        <v>28</v>
      </c>
      <c r="AE25">
        <v>29</v>
      </c>
      <c r="AF25">
        <v>30</v>
      </c>
      <c r="AG25">
        <v>31</v>
      </c>
      <c r="AH25" s="141">
        <v>32</v>
      </c>
      <c r="AI25" s="141"/>
      <c r="AJ25" s="141"/>
      <c r="AK25" s="141"/>
      <c r="AL25" s="141"/>
      <c r="AM25" s="141"/>
      <c r="AN25" s="141"/>
      <c r="AO25" s="141"/>
      <c r="AP25" s="141"/>
      <c r="AQ25" s="141"/>
    </row>
    <row r="26" spans="1:43">
      <c r="A26" s="2" t="s">
        <v>26</v>
      </c>
      <c r="F26" s="138">
        <f>1/((1+($D$11/$D$8))^(F25))</f>
        <v>0.90967235914302957</v>
      </c>
      <c r="G26" s="138">
        <f>1/((1+($D$11/$D$8))^(G25))</f>
        <v>0.88839529190197741</v>
      </c>
      <c r="H26" s="138">
        <f t="shared" ref="H26:AH26" si="0">1/((1+($D$11/$D$8))^(H25))</f>
        <v>0.86761589130521743</v>
      </c>
      <c r="I26" s="138">
        <f t="shared" si="0"/>
        <v>0.84732251702252803</v>
      </c>
      <c r="J26" s="138">
        <f t="shared" si="0"/>
        <v>0.82750380098884502</v>
      </c>
      <c r="K26" s="138">
        <f t="shared" si="0"/>
        <v>0.80814864103603223</v>
      </c>
      <c r="L26" s="138">
        <f t="shared" si="0"/>
        <v>0.78924619467359958</v>
      </c>
      <c r="M26" s="138">
        <f t="shared" si="0"/>
        <v>0.77078587301489299</v>
      </c>
      <c r="N26" s="138">
        <f t="shared" si="0"/>
        <v>0.75275733484534679</v>
      </c>
      <c r="O26" s="138">
        <f t="shared" si="0"/>
        <v>0.73515048082948076</v>
      </c>
      <c r="P26" s="138">
        <f t="shared" si="0"/>
        <v>0.71795544785339216</v>
      </c>
      <c r="Q26" s="138">
        <f t="shared" si="0"/>
        <v>0.70116260349957726</v>
      </c>
      <c r="R26" s="138">
        <f t="shared" si="0"/>
        <v>0.68476254065098607</v>
      </c>
      <c r="S26" s="138">
        <f t="shared" si="0"/>
        <v>0.66874607222128635</v>
      </c>
      <c r="T26" s="138">
        <f t="shared" si="0"/>
        <v>0.65310422600838547</v>
      </c>
      <c r="U26" s="138">
        <f t="shared" si="0"/>
        <v>0.63782823966832924</v>
      </c>
      <c r="V26" s="138">
        <f t="shared" si="0"/>
        <v>0.62290955580675722</v>
      </c>
      <c r="W26" s="138">
        <f t="shared" si="0"/>
        <v>0.60833981718517238</v>
      </c>
      <c r="X26" s="138">
        <f t="shared" si="0"/>
        <v>0.5941108620393305</v>
      </c>
      <c r="Y26" s="138">
        <f t="shared" si="0"/>
        <v>0.58021471950713466</v>
      </c>
      <c r="Z26" s="138">
        <f t="shared" si="0"/>
        <v>0.56664360516346957</v>
      </c>
      <c r="AA26" s="138">
        <f t="shared" si="0"/>
        <v>0.55338991665947512</v>
      </c>
      <c r="AB26" s="138">
        <f t="shared" si="0"/>
        <v>0.54044622946381682</v>
      </c>
      <c r="AC26" s="138">
        <f t="shared" si="0"/>
        <v>0.52780529270356646</v>
      </c>
      <c r="AD26" s="138">
        <f t="shared" si="0"/>
        <v>0.51546002510236477</v>
      </c>
      <c r="AE26" s="138">
        <f t="shared" si="0"/>
        <v>0.50340351101358927</v>
      </c>
      <c r="AF26" s="138">
        <f t="shared" si="0"/>
        <v>0.49162899654630543</v>
      </c>
      <c r="AG26" s="138">
        <f t="shared" si="0"/>
        <v>0.48012988578183058</v>
      </c>
      <c r="AH26" s="138">
        <f t="shared" si="0"/>
        <v>0.4688997370787934</v>
      </c>
      <c r="AI26" s="150"/>
      <c r="AJ26" s="150"/>
      <c r="AK26" s="150"/>
      <c r="AL26" s="150"/>
      <c r="AM26" s="150"/>
      <c r="AN26" s="150"/>
      <c r="AO26" s="150"/>
      <c r="AP26" s="150"/>
      <c r="AQ26" s="150"/>
    </row>
    <row r="27" spans="1:43">
      <c r="AH27" s="141"/>
      <c r="AI27" s="141"/>
      <c r="AJ27" s="141"/>
      <c r="AK27" s="141"/>
      <c r="AL27" s="141"/>
      <c r="AM27" s="141"/>
      <c r="AN27" s="141"/>
      <c r="AO27" s="141"/>
      <c r="AP27" s="141"/>
      <c r="AQ27" s="141"/>
    </row>
    <row r="28" spans="1:43" ht="21">
      <c r="A28" s="29" t="s">
        <v>27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141"/>
      <c r="AJ28" s="141"/>
      <c r="AK28" s="141"/>
      <c r="AL28" s="141"/>
      <c r="AM28" s="141"/>
      <c r="AN28" s="141"/>
      <c r="AO28" s="141"/>
      <c r="AP28" s="141"/>
      <c r="AQ28" s="141"/>
    </row>
    <row r="29" spans="1:43">
      <c r="A29" s="2" t="s">
        <v>37</v>
      </c>
      <c r="F29">
        <v>1</v>
      </c>
      <c r="G29">
        <v>2</v>
      </c>
      <c r="H29">
        <v>3</v>
      </c>
      <c r="I29">
        <v>4</v>
      </c>
      <c r="J29">
        <v>5</v>
      </c>
      <c r="K29">
        <v>6</v>
      </c>
      <c r="L29">
        <v>7</v>
      </c>
      <c r="M29">
        <v>8</v>
      </c>
      <c r="N29">
        <v>9</v>
      </c>
      <c r="AH29" s="141"/>
      <c r="AI29" s="141"/>
      <c r="AJ29" s="141"/>
      <c r="AK29" s="141"/>
      <c r="AL29" s="141"/>
      <c r="AM29" s="141"/>
      <c r="AN29" s="141"/>
      <c r="AO29" s="141"/>
      <c r="AP29" s="141"/>
      <c r="AQ29" s="141"/>
    </row>
    <row r="30" spans="1:43">
      <c r="A30" s="27"/>
      <c r="B30" s="26" t="s">
        <v>28</v>
      </c>
      <c r="C30" s="27"/>
      <c r="D30" s="47">
        <f>SUM(F30:AH30)</f>
        <v>-2289598.21</v>
      </c>
      <c r="E30" s="71"/>
      <c r="F30" s="47">
        <f>PMT($D$5,$D$9,$D$10)</f>
        <v>-254399.8011111111</v>
      </c>
      <c r="G30" s="71">
        <f t="shared" ref="G30:N30" si="1">PMT($D$5,$D$9,$D$10)</f>
        <v>-254399.8011111111</v>
      </c>
      <c r="H30" s="71">
        <f t="shared" si="1"/>
        <v>-254399.8011111111</v>
      </c>
      <c r="I30" s="71">
        <f t="shared" si="1"/>
        <v>-254399.8011111111</v>
      </c>
      <c r="J30" s="71">
        <f t="shared" si="1"/>
        <v>-254399.8011111111</v>
      </c>
      <c r="K30" s="71">
        <f t="shared" si="1"/>
        <v>-254399.8011111111</v>
      </c>
      <c r="L30" s="71">
        <f t="shared" si="1"/>
        <v>-254399.8011111111</v>
      </c>
      <c r="M30" s="71">
        <f t="shared" si="1"/>
        <v>-254399.8011111111</v>
      </c>
      <c r="N30" s="71">
        <f t="shared" si="1"/>
        <v>-254399.8011111111</v>
      </c>
      <c r="O30" s="71"/>
      <c r="P30" s="71"/>
      <c r="Q30" s="71"/>
      <c r="R30" s="71"/>
      <c r="S30" s="71"/>
      <c r="T30" s="71"/>
      <c r="U30" s="71"/>
      <c r="V30" s="71"/>
      <c r="W30" s="71"/>
      <c r="X30" s="71"/>
      <c r="Y30" s="71"/>
      <c r="AH30" s="141"/>
      <c r="AI30" s="141"/>
      <c r="AJ30" s="141"/>
      <c r="AK30" s="141"/>
      <c r="AL30" s="141"/>
      <c r="AM30" s="141"/>
      <c r="AN30" s="141"/>
      <c r="AO30" s="141"/>
      <c r="AP30" s="141"/>
      <c r="AQ30" s="141"/>
    </row>
    <row r="31" spans="1:43">
      <c r="A31" s="27"/>
      <c r="B31" s="27"/>
      <c r="C31" s="27" t="s">
        <v>29</v>
      </c>
      <c r="D31" s="47">
        <f t="shared" ref="D31:D36" si="2">SUM(F31:AH31)</f>
        <v>-2289598.21</v>
      </c>
      <c r="E31" s="71"/>
      <c r="F31" s="47">
        <f>PPMT($D$5,F$29,$D$9,$D$10)</f>
        <v>-254399.8011111111</v>
      </c>
      <c r="G31" s="71">
        <f t="shared" ref="G31:N31" si="3">PPMT($D$5,G$29,$D$9,$D$10)</f>
        <v>-254399.8011111111</v>
      </c>
      <c r="H31" s="71">
        <f t="shared" si="3"/>
        <v>-254399.8011111111</v>
      </c>
      <c r="I31" s="71">
        <f t="shared" si="3"/>
        <v>-254399.8011111111</v>
      </c>
      <c r="J31" s="71">
        <f t="shared" si="3"/>
        <v>-254399.8011111111</v>
      </c>
      <c r="K31" s="71">
        <f t="shared" si="3"/>
        <v>-254399.8011111111</v>
      </c>
      <c r="L31" s="71">
        <f t="shared" si="3"/>
        <v>-254399.8011111111</v>
      </c>
      <c r="M31" s="71">
        <f t="shared" si="3"/>
        <v>-254399.8011111111</v>
      </c>
      <c r="N31" s="71">
        <f t="shared" si="3"/>
        <v>-254399.8011111111</v>
      </c>
      <c r="O31" s="71"/>
      <c r="P31" s="71"/>
      <c r="Q31" s="71"/>
      <c r="R31" s="71"/>
      <c r="S31" s="71"/>
      <c r="T31" s="71"/>
      <c r="U31" s="71"/>
      <c r="V31" s="71"/>
      <c r="W31" s="71"/>
      <c r="X31" s="71"/>
      <c r="Y31" s="71"/>
      <c r="AH31" s="141"/>
      <c r="AI31" s="141"/>
      <c r="AJ31" s="141"/>
      <c r="AK31" s="141"/>
      <c r="AL31" s="141"/>
      <c r="AM31" s="141"/>
      <c r="AN31" s="141"/>
      <c r="AO31" s="141"/>
      <c r="AP31" s="141"/>
      <c r="AQ31" s="141"/>
    </row>
    <row r="32" spans="1:43">
      <c r="A32" s="27"/>
      <c r="B32" s="27"/>
      <c r="C32" s="27" t="s">
        <v>30</v>
      </c>
      <c r="D32" s="47">
        <f t="shared" si="2"/>
        <v>0</v>
      </c>
      <c r="E32" s="71"/>
      <c r="F32" s="47">
        <f>IPMT($D$5,F$29,$D$9,$D$10)</f>
        <v>0</v>
      </c>
      <c r="G32" s="71">
        <f t="shared" ref="G32:N32" si="4">IPMT($D$5,G$29,$D$9,$D$10)</f>
        <v>0</v>
      </c>
      <c r="H32" s="71">
        <f t="shared" si="4"/>
        <v>0</v>
      </c>
      <c r="I32" s="71">
        <f t="shared" si="4"/>
        <v>0</v>
      </c>
      <c r="J32" s="71">
        <f t="shared" si="4"/>
        <v>0</v>
      </c>
      <c r="K32" s="71">
        <f t="shared" si="4"/>
        <v>0</v>
      </c>
      <c r="L32" s="71">
        <f t="shared" si="4"/>
        <v>0</v>
      </c>
      <c r="M32" s="71">
        <f t="shared" si="4"/>
        <v>0</v>
      </c>
      <c r="N32" s="71">
        <f t="shared" si="4"/>
        <v>0</v>
      </c>
      <c r="O32" s="71"/>
      <c r="P32" s="71"/>
      <c r="Q32" s="71"/>
      <c r="R32" s="71"/>
      <c r="S32" s="71"/>
      <c r="T32" s="71"/>
      <c r="U32" s="71"/>
      <c r="V32" s="71"/>
      <c r="W32" s="71"/>
      <c r="X32" s="71"/>
      <c r="Y32" s="71"/>
      <c r="AH32" s="141"/>
      <c r="AI32" s="141"/>
      <c r="AJ32" s="141"/>
      <c r="AK32" s="141"/>
      <c r="AL32" s="141"/>
      <c r="AM32" s="141"/>
      <c r="AN32" s="141"/>
      <c r="AO32" s="141"/>
      <c r="AP32" s="141"/>
      <c r="AQ32" s="141"/>
    </row>
    <row r="33" spans="1:44">
      <c r="A33" s="27"/>
      <c r="B33" s="33" t="s">
        <v>31</v>
      </c>
      <c r="C33" s="33"/>
      <c r="D33" s="47"/>
      <c r="E33" s="71">
        <f>D10</f>
        <v>2289598.21</v>
      </c>
      <c r="F33" s="71">
        <f>E33+F31</f>
        <v>2035198.4088888888</v>
      </c>
      <c r="G33" s="71">
        <f t="shared" ref="G33:N33" si="5">F33+G31</f>
        <v>1780798.6077777776</v>
      </c>
      <c r="H33" s="71">
        <f t="shared" si="5"/>
        <v>1526398.8066666664</v>
      </c>
      <c r="I33" s="71">
        <f t="shared" si="5"/>
        <v>1271999.0055555552</v>
      </c>
      <c r="J33" s="71">
        <f t="shared" si="5"/>
        <v>1017599.2044444442</v>
      </c>
      <c r="K33" s="71">
        <f t="shared" si="5"/>
        <v>763199.40333333309</v>
      </c>
      <c r="L33" s="71">
        <f t="shared" si="5"/>
        <v>508799.60222222202</v>
      </c>
      <c r="M33" s="71">
        <f t="shared" si="5"/>
        <v>254399.80111111092</v>
      </c>
      <c r="N33" s="71">
        <f t="shared" si="5"/>
        <v>0</v>
      </c>
      <c r="O33" s="71"/>
      <c r="P33" s="71"/>
      <c r="Q33" s="71"/>
      <c r="R33" s="71"/>
      <c r="S33" s="71"/>
      <c r="T33" s="71"/>
      <c r="U33" s="71"/>
      <c r="V33" s="71"/>
      <c r="W33" s="71"/>
      <c r="X33" s="71"/>
      <c r="Y33" s="71"/>
      <c r="AH33" s="141"/>
      <c r="AI33" s="141"/>
      <c r="AJ33" s="141"/>
      <c r="AK33" s="141"/>
      <c r="AL33" s="141"/>
      <c r="AM33" s="141"/>
      <c r="AN33" s="141"/>
      <c r="AO33" s="141"/>
      <c r="AP33" s="141"/>
      <c r="AQ33" s="141"/>
    </row>
    <row r="34" spans="1:44">
      <c r="A34" s="27"/>
      <c r="B34" s="26" t="s">
        <v>32</v>
      </c>
      <c r="C34" s="27"/>
      <c r="D34" s="47">
        <f t="shared" si="2"/>
        <v>-1898190.8627610826</v>
      </c>
      <c r="E34" s="71"/>
      <c r="F34" s="71">
        <f>F30*F26</f>
        <v>-231420.46724226195</v>
      </c>
      <c r="G34" s="71">
        <f t="shared" ref="G34:N34" si="6">G30*G26</f>
        <v>-226007.58556791054</v>
      </c>
      <c r="H34" s="71">
        <f t="shared" si="6"/>
        <v>-220721.31018888671</v>
      </c>
      <c r="I34" s="71">
        <f t="shared" si="6"/>
        <v>-215558.67980749719</v>
      </c>
      <c r="J34" s="71">
        <f t="shared" si="6"/>
        <v>-210516.80239025064</v>
      </c>
      <c r="K34" s="71">
        <f t="shared" si="6"/>
        <v>-205592.85354778133</v>
      </c>
      <c r="L34" s="71">
        <f t="shared" si="6"/>
        <v>-200784.07495266499</v>
      </c>
      <c r="M34" s="71">
        <f t="shared" si="6"/>
        <v>-196087.77279424292</v>
      </c>
      <c r="N34" s="71">
        <f t="shared" si="6"/>
        <v>-191501.31626958627</v>
      </c>
      <c r="O34" s="71"/>
      <c r="P34" s="71"/>
      <c r="Q34" s="71"/>
      <c r="R34" s="71"/>
      <c r="S34" s="71"/>
      <c r="T34" s="71"/>
      <c r="U34" s="71"/>
      <c r="V34" s="71"/>
      <c r="W34" s="71"/>
      <c r="X34" s="71"/>
      <c r="Y34" s="71"/>
      <c r="AH34" s="141"/>
      <c r="AI34" s="141"/>
      <c r="AJ34" s="141"/>
      <c r="AK34" s="141"/>
      <c r="AL34" s="141"/>
      <c r="AM34" s="141"/>
      <c r="AN34" s="141"/>
      <c r="AO34" s="141"/>
      <c r="AP34" s="141"/>
      <c r="AQ34" s="141"/>
    </row>
    <row r="35" spans="1:44">
      <c r="A35" s="27"/>
      <c r="B35" s="27"/>
      <c r="C35" s="27" t="s">
        <v>29</v>
      </c>
      <c r="D35" s="47">
        <f t="shared" si="2"/>
        <v>-1898190.8627610826</v>
      </c>
      <c r="E35" s="71"/>
      <c r="F35" s="71">
        <f>F31*F26</f>
        <v>-231420.46724226195</v>
      </c>
      <c r="G35" s="71">
        <f t="shared" ref="G35:N35" si="7">G31*G26</f>
        <v>-226007.58556791054</v>
      </c>
      <c r="H35" s="71">
        <f t="shared" si="7"/>
        <v>-220721.31018888671</v>
      </c>
      <c r="I35" s="71">
        <f t="shared" si="7"/>
        <v>-215558.67980749719</v>
      </c>
      <c r="J35" s="71">
        <f t="shared" si="7"/>
        <v>-210516.80239025064</v>
      </c>
      <c r="K35" s="71">
        <f t="shared" si="7"/>
        <v>-205592.85354778133</v>
      </c>
      <c r="L35" s="71">
        <f t="shared" si="7"/>
        <v>-200784.07495266499</v>
      </c>
      <c r="M35" s="71">
        <f t="shared" si="7"/>
        <v>-196087.77279424292</v>
      </c>
      <c r="N35" s="71">
        <f t="shared" si="7"/>
        <v>-191501.31626958627</v>
      </c>
      <c r="O35" s="71"/>
      <c r="P35" s="71"/>
      <c r="Q35" s="71"/>
      <c r="R35" s="71"/>
      <c r="S35" s="71"/>
      <c r="T35" s="71"/>
      <c r="U35" s="71"/>
      <c r="V35" s="71"/>
      <c r="W35" s="71"/>
      <c r="X35" s="71"/>
      <c r="Y35" s="71"/>
      <c r="AH35" s="141"/>
      <c r="AI35" s="141"/>
      <c r="AJ35" s="141"/>
      <c r="AK35" s="141"/>
      <c r="AL35" s="141"/>
      <c r="AM35" s="141"/>
      <c r="AN35" s="141"/>
      <c r="AO35" s="141"/>
      <c r="AP35" s="141"/>
      <c r="AQ35" s="141"/>
    </row>
    <row r="36" spans="1:44">
      <c r="A36" s="27"/>
      <c r="B36" s="27"/>
      <c r="C36" s="27" t="s">
        <v>30</v>
      </c>
      <c r="D36" s="47">
        <f t="shared" si="2"/>
        <v>0</v>
      </c>
      <c r="E36" s="71"/>
      <c r="F36" s="71">
        <f>F32*F26</f>
        <v>0</v>
      </c>
      <c r="G36" s="71">
        <f t="shared" ref="G36:N36" si="8">G32*G26</f>
        <v>0</v>
      </c>
      <c r="H36" s="71">
        <f t="shared" si="8"/>
        <v>0</v>
      </c>
      <c r="I36" s="71">
        <f t="shared" si="8"/>
        <v>0</v>
      </c>
      <c r="J36" s="71">
        <f t="shared" si="8"/>
        <v>0</v>
      </c>
      <c r="K36" s="71">
        <f t="shared" si="8"/>
        <v>0</v>
      </c>
      <c r="L36" s="71">
        <f t="shared" si="8"/>
        <v>0</v>
      </c>
      <c r="M36" s="71">
        <f t="shared" si="8"/>
        <v>0</v>
      </c>
      <c r="N36" s="71">
        <f t="shared" si="8"/>
        <v>0</v>
      </c>
      <c r="O36" s="71"/>
      <c r="P36" s="71"/>
      <c r="Q36" s="71"/>
      <c r="R36" s="71"/>
      <c r="S36" s="71"/>
      <c r="T36" s="71"/>
      <c r="U36" s="71"/>
      <c r="V36" s="71"/>
      <c r="W36" s="71"/>
      <c r="X36" s="71"/>
      <c r="Y36" s="71"/>
      <c r="AH36" s="141"/>
      <c r="AI36" s="141"/>
      <c r="AJ36" s="141"/>
      <c r="AK36" s="141"/>
      <c r="AL36" s="141"/>
      <c r="AM36" s="141"/>
      <c r="AN36" s="141"/>
      <c r="AO36" s="141"/>
      <c r="AP36" s="141"/>
      <c r="AQ36" s="141"/>
    </row>
    <row r="37" spans="1:44">
      <c r="AH37" s="141"/>
      <c r="AI37" s="141"/>
      <c r="AJ37" s="141"/>
      <c r="AK37" s="141"/>
      <c r="AL37" s="141"/>
      <c r="AM37" s="141"/>
      <c r="AN37" s="141"/>
      <c r="AO37" s="141"/>
      <c r="AP37" s="141"/>
      <c r="AQ37" s="141"/>
    </row>
    <row r="38" spans="1:44" ht="21">
      <c r="A38" s="29" t="s">
        <v>33</v>
      </c>
      <c r="B38" s="30"/>
      <c r="C38" s="30"/>
      <c r="D38" s="30"/>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141"/>
      <c r="AJ38" s="141"/>
      <c r="AK38" s="141"/>
      <c r="AL38" s="141"/>
      <c r="AM38" s="141"/>
      <c r="AN38" s="141"/>
      <c r="AO38" s="141"/>
      <c r="AP38" s="141"/>
      <c r="AQ38" s="141"/>
    </row>
    <row r="39" spans="1:44">
      <c r="A39" s="36" t="s">
        <v>150</v>
      </c>
      <c r="B39" s="44"/>
      <c r="C39" s="37"/>
      <c r="D39" s="37"/>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141"/>
      <c r="AJ39" s="141"/>
      <c r="AK39" s="141"/>
      <c r="AL39" s="141"/>
      <c r="AM39" s="141"/>
      <c r="AN39" s="141"/>
      <c r="AO39" s="141"/>
      <c r="AP39" s="141"/>
      <c r="AQ39" s="141"/>
    </row>
    <row r="40" spans="1:44">
      <c r="A40" s="140" t="s">
        <v>24</v>
      </c>
      <c r="B40" s="141"/>
      <c r="C40" s="142"/>
      <c r="D40" s="142"/>
      <c r="E40" s="141" t="s">
        <v>25</v>
      </c>
      <c r="F40" s="141" t="s">
        <v>25</v>
      </c>
      <c r="G40" s="141" t="s">
        <v>25</v>
      </c>
      <c r="H40" s="141" t="s">
        <v>25</v>
      </c>
      <c r="I40" s="141" t="s">
        <v>25</v>
      </c>
      <c r="J40" s="141" t="s">
        <v>25</v>
      </c>
      <c r="K40" s="141" t="s">
        <v>25</v>
      </c>
      <c r="L40" s="141" t="s">
        <v>25</v>
      </c>
      <c r="M40" s="141" t="s">
        <v>25</v>
      </c>
      <c r="N40" s="141" t="s">
        <v>25</v>
      </c>
      <c r="O40" s="141">
        <v>1</v>
      </c>
      <c r="P40" s="141">
        <v>2</v>
      </c>
      <c r="Q40" s="141">
        <v>3</v>
      </c>
      <c r="R40" s="141">
        <v>4</v>
      </c>
      <c r="S40" s="141">
        <v>5</v>
      </c>
      <c r="T40" s="141">
        <v>6</v>
      </c>
      <c r="U40" s="141">
        <v>7</v>
      </c>
      <c r="V40" s="141">
        <v>8</v>
      </c>
      <c r="W40" s="141">
        <v>9</v>
      </c>
      <c r="X40" s="141">
        <v>10</v>
      </c>
      <c r="Y40" s="141">
        <v>11</v>
      </c>
      <c r="Z40" s="141">
        <v>12</v>
      </c>
      <c r="AA40" s="141">
        <v>13</v>
      </c>
      <c r="AB40" s="141">
        <v>14</v>
      </c>
      <c r="AC40" s="141">
        <v>15</v>
      </c>
      <c r="AD40" s="141">
        <v>16</v>
      </c>
      <c r="AE40" s="141">
        <v>17</v>
      </c>
      <c r="AF40" s="141">
        <v>18</v>
      </c>
      <c r="AG40" s="141">
        <v>19</v>
      </c>
      <c r="AH40" s="141">
        <v>20</v>
      </c>
      <c r="AI40" s="141"/>
      <c r="AJ40" s="141"/>
      <c r="AK40" s="141"/>
      <c r="AL40" s="141"/>
      <c r="AM40" s="141"/>
      <c r="AN40" s="141"/>
      <c r="AO40" s="141"/>
      <c r="AP40" s="141"/>
      <c r="AQ40" s="141"/>
      <c r="AR40" s="141"/>
    </row>
    <row r="41" spans="1:44">
      <c r="A41" s="41"/>
      <c r="B41" s="26" t="s">
        <v>28</v>
      </c>
      <c r="C41" s="27"/>
      <c r="D41" s="71">
        <f>SUM(F41:AH41)</f>
        <v>-2389446</v>
      </c>
      <c r="O41" s="71">
        <f>PMT($D$15,$D$19,$D$20)</f>
        <v>-119472.3</v>
      </c>
      <c r="P41" s="71">
        <f t="shared" ref="P41:AH41" si="9">PMT($D$15,$D$19,$D$20)</f>
        <v>-119472.3</v>
      </c>
      <c r="Q41" s="71">
        <f t="shared" si="9"/>
        <v>-119472.3</v>
      </c>
      <c r="R41" s="71">
        <f t="shared" si="9"/>
        <v>-119472.3</v>
      </c>
      <c r="S41" s="71">
        <f t="shared" si="9"/>
        <v>-119472.3</v>
      </c>
      <c r="T41" s="71">
        <f t="shared" si="9"/>
        <v>-119472.3</v>
      </c>
      <c r="U41" s="71">
        <f t="shared" si="9"/>
        <v>-119472.3</v>
      </c>
      <c r="V41" s="71">
        <f t="shared" si="9"/>
        <v>-119472.3</v>
      </c>
      <c r="W41" s="71">
        <f t="shared" si="9"/>
        <v>-119472.3</v>
      </c>
      <c r="X41" s="71">
        <f t="shared" si="9"/>
        <v>-119472.3</v>
      </c>
      <c r="Y41" s="71">
        <f t="shared" si="9"/>
        <v>-119472.3</v>
      </c>
      <c r="Z41" s="71">
        <f t="shared" si="9"/>
        <v>-119472.3</v>
      </c>
      <c r="AA41" s="71">
        <f t="shared" si="9"/>
        <v>-119472.3</v>
      </c>
      <c r="AB41" s="71">
        <f t="shared" si="9"/>
        <v>-119472.3</v>
      </c>
      <c r="AC41" s="71">
        <f t="shared" si="9"/>
        <v>-119472.3</v>
      </c>
      <c r="AD41" s="71">
        <f t="shared" si="9"/>
        <v>-119472.3</v>
      </c>
      <c r="AE41" s="71">
        <f t="shared" si="9"/>
        <v>-119472.3</v>
      </c>
      <c r="AF41" s="71">
        <f t="shared" si="9"/>
        <v>-119472.3</v>
      </c>
      <c r="AG41" s="71">
        <f t="shared" si="9"/>
        <v>-119472.3</v>
      </c>
      <c r="AH41" s="71">
        <f t="shared" si="9"/>
        <v>-119472.3</v>
      </c>
      <c r="AI41" s="71"/>
      <c r="AJ41" s="71"/>
      <c r="AK41" s="71"/>
      <c r="AL41" s="71"/>
      <c r="AM41" s="71"/>
      <c r="AN41" s="71"/>
      <c r="AO41" s="71"/>
      <c r="AP41" s="71"/>
      <c r="AQ41" s="71"/>
      <c r="AR41" s="71"/>
    </row>
    <row r="42" spans="1:44">
      <c r="A42" s="41"/>
      <c r="B42" s="27"/>
      <c r="C42" s="27" t="s">
        <v>29</v>
      </c>
      <c r="D42" s="71">
        <f t="shared" ref="D42:D47" si="10">SUM(F42:AH42)</f>
        <v>-2389446</v>
      </c>
      <c r="O42" s="71">
        <f t="shared" ref="O42:AH42" si="11">PPMT($D$15,O$40,$D$19,$D$20)</f>
        <v>-119472.3</v>
      </c>
      <c r="P42" s="71">
        <f t="shared" si="11"/>
        <v>-119472.3</v>
      </c>
      <c r="Q42" s="71">
        <f t="shared" si="11"/>
        <v>-119472.3</v>
      </c>
      <c r="R42" s="71">
        <f t="shared" si="11"/>
        <v>-119472.3</v>
      </c>
      <c r="S42" s="71">
        <f t="shared" si="11"/>
        <v>-119472.3</v>
      </c>
      <c r="T42" s="71">
        <f t="shared" si="11"/>
        <v>-119472.3</v>
      </c>
      <c r="U42" s="71">
        <f t="shared" si="11"/>
        <v>-119472.3</v>
      </c>
      <c r="V42" s="71">
        <f t="shared" si="11"/>
        <v>-119472.3</v>
      </c>
      <c r="W42" s="71">
        <f t="shared" si="11"/>
        <v>-119472.3</v>
      </c>
      <c r="X42" s="71">
        <f t="shared" si="11"/>
        <v>-119472.3</v>
      </c>
      <c r="Y42" s="71">
        <f t="shared" si="11"/>
        <v>-119472.3</v>
      </c>
      <c r="Z42" s="71">
        <f t="shared" si="11"/>
        <v>-119472.3</v>
      </c>
      <c r="AA42" s="71">
        <f t="shared" si="11"/>
        <v>-119472.3</v>
      </c>
      <c r="AB42" s="71">
        <f t="shared" si="11"/>
        <v>-119472.3</v>
      </c>
      <c r="AC42" s="71">
        <f t="shared" si="11"/>
        <v>-119472.3</v>
      </c>
      <c r="AD42" s="71">
        <f t="shared" si="11"/>
        <v>-119472.3</v>
      </c>
      <c r="AE42" s="71">
        <f t="shared" si="11"/>
        <v>-119472.3</v>
      </c>
      <c r="AF42" s="71">
        <f t="shared" si="11"/>
        <v>-119472.3</v>
      </c>
      <c r="AG42" s="71">
        <f t="shared" si="11"/>
        <v>-119472.3</v>
      </c>
      <c r="AH42" s="71">
        <f t="shared" si="11"/>
        <v>-119472.3</v>
      </c>
      <c r="AI42" s="71"/>
      <c r="AJ42" s="71"/>
      <c r="AK42" s="71"/>
      <c r="AL42" s="71"/>
      <c r="AM42" s="71"/>
      <c r="AN42" s="71"/>
      <c r="AO42" s="71"/>
      <c r="AP42" s="71"/>
      <c r="AQ42" s="71"/>
      <c r="AR42" s="71"/>
    </row>
    <row r="43" spans="1:44">
      <c r="A43" s="41"/>
      <c r="B43" s="27"/>
      <c r="C43" s="27" t="s">
        <v>30</v>
      </c>
      <c r="D43" s="71">
        <f t="shared" si="10"/>
        <v>0</v>
      </c>
      <c r="O43" s="71">
        <f t="shared" ref="O43:AH43" si="12">IPMT($D$15,O$40,$D$19,$D$20)</f>
        <v>0</v>
      </c>
      <c r="P43" s="71">
        <f t="shared" si="12"/>
        <v>0</v>
      </c>
      <c r="Q43" s="71">
        <f t="shared" si="12"/>
        <v>0</v>
      </c>
      <c r="R43" s="71">
        <f t="shared" si="12"/>
        <v>0</v>
      </c>
      <c r="S43" s="71">
        <f t="shared" si="12"/>
        <v>0</v>
      </c>
      <c r="T43" s="71">
        <f t="shared" si="12"/>
        <v>0</v>
      </c>
      <c r="U43" s="71">
        <f t="shared" si="12"/>
        <v>0</v>
      </c>
      <c r="V43" s="71">
        <f t="shared" si="12"/>
        <v>0</v>
      </c>
      <c r="W43" s="71">
        <f t="shared" si="12"/>
        <v>0</v>
      </c>
      <c r="X43" s="71">
        <f t="shared" si="12"/>
        <v>0</v>
      </c>
      <c r="Y43" s="71">
        <f t="shared" si="12"/>
        <v>0</v>
      </c>
      <c r="Z43" s="71">
        <f t="shared" si="12"/>
        <v>0</v>
      </c>
      <c r="AA43" s="71">
        <f t="shared" si="12"/>
        <v>0</v>
      </c>
      <c r="AB43" s="71">
        <f t="shared" si="12"/>
        <v>0</v>
      </c>
      <c r="AC43" s="71">
        <f t="shared" si="12"/>
        <v>0</v>
      </c>
      <c r="AD43" s="71">
        <f t="shared" si="12"/>
        <v>0</v>
      </c>
      <c r="AE43" s="71">
        <f t="shared" si="12"/>
        <v>0</v>
      </c>
      <c r="AF43" s="71">
        <f t="shared" si="12"/>
        <v>0</v>
      </c>
      <c r="AG43" s="71">
        <f t="shared" si="12"/>
        <v>0</v>
      </c>
      <c r="AH43" s="71">
        <f t="shared" si="12"/>
        <v>0</v>
      </c>
      <c r="AI43" s="71"/>
      <c r="AJ43" s="71"/>
      <c r="AK43" s="71"/>
      <c r="AL43" s="71"/>
      <c r="AM43" s="71"/>
      <c r="AN43" s="71"/>
      <c r="AO43" s="71"/>
      <c r="AP43" s="71"/>
      <c r="AQ43" s="71"/>
      <c r="AR43" s="71"/>
    </row>
    <row r="44" spans="1:44">
      <c r="A44" s="41"/>
      <c r="B44" s="33" t="s">
        <v>31</v>
      </c>
      <c r="C44" s="42"/>
      <c r="D44" s="71"/>
      <c r="N44" s="130">
        <f>D20</f>
        <v>2389446</v>
      </c>
      <c r="O44" s="71">
        <f t="shared" ref="O44:AH44" si="13">N44+O42</f>
        <v>2269973.7000000002</v>
      </c>
      <c r="P44" s="71">
        <f t="shared" si="13"/>
        <v>2150501.4000000004</v>
      </c>
      <c r="Q44" s="71">
        <f t="shared" si="13"/>
        <v>2031029.1000000003</v>
      </c>
      <c r="R44" s="71">
        <f t="shared" si="13"/>
        <v>1911556.8000000003</v>
      </c>
      <c r="S44" s="71">
        <f t="shared" si="13"/>
        <v>1792084.5000000002</v>
      </c>
      <c r="T44" s="71">
        <f t="shared" si="13"/>
        <v>1672612.2000000002</v>
      </c>
      <c r="U44" s="71">
        <f t="shared" si="13"/>
        <v>1553139.9000000001</v>
      </c>
      <c r="V44" s="71">
        <f t="shared" si="13"/>
        <v>1433667.6</v>
      </c>
      <c r="W44" s="71">
        <f t="shared" si="13"/>
        <v>1314195.3</v>
      </c>
      <c r="X44" s="71">
        <f t="shared" si="13"/>
        <v>1194723</v>
      </c>
      <c r="Y44" s="71">
        <f t="shared" si="13"/>
        <v>1075250.7</v>
      </c>
      <c r="Z44" s="71">
        <f t="shared" si="13"/>
        <v>955778.39999999991</v>
      </c>
      <c r="AA44" s="71">
        <f t="shared" si="13"/>
        <v>836306.09999999986</v>
      </c>
      <c r="AB44" s="71">
        <f t="shared" si="13"/>
        <v>716833.79999999981</v>
      </c>
      <c r="AC44" s="71">
        <f t="shared" si="13"/>
        <v>597361.49999999977</v>
      </c>
      <c r="AD44" s="71">
        <f t="shared" si="13"/>
        <v>477889.19999999978</v>
      </c>
      <c r="AE44" s="71">
        <f t="shared" si="13"/>
        <v>358416.89999999979</v>
      </c>
      <c r="AF44" s="71">
        <f t="shared" si="13"/>
        <v>238944.5999999998</v>
      </c>
      <c r="AG44" s="71">
        <f t="shared" si="13"/>
        <v>119472.2999999998</v>
      </c>
      <c r="AH44" s="71">
        <f t="shared" si="13"/>
        <v>-2.0372681319713593E-10</v>
      </c>
      <c r="AI44" s="71"/>
      <c r="AJ44" s="71"/>
      <c r="AK44" s="71"/>
      <c r="AL44" s="71"/>
      <c r="AM44" s="71"/>
      <c r="AN44" s="71"/>
      <c r="AO44" s="71"/>
      <c r="AP44" s="71"/>
      <c r="AQ44" s="71"/>
      <c r="AR44" s="71"/>
    </row>
    <row r="45" spans="1:44" ht="21">
      <c r="A45" s="43"/>
      <c r="B45" s="26" t="s">
        <v>32</v>
      </c>
      <c r="C45" s="27"/>
      <c r="D45" s="71">
        <f t="shared" si="10"/>
        <v>-1415996.6629496894</v>
      </c>
      <c r="O45" s="71">
        <f>O41*O26</f>
        <v>-87830.118790803972</v>
      </c>
      <c r="P45" s="71">
        <f t="shared" ref="P45:AH45" si="14">P41*P26</f>
        <v>-85775.788652574833</v>
      </c>
      <c r="Q45" s="71">
        <f t="shared" si="14"/>
        <v>-83769.508914082544</v>
      </c>
      <c r="R45" s="71">
        <f t="shared" si="14"/>
        <v>-81810.155685416801</v>
      </c>
      <c r="S45" s="71">
        <f t="shared" si="14"/>
        <v>-79896.631364243192</v>
      </c>
      <c r="T45" s="71">
        <f t="shared" si="14"/>
        <v>-78027.864020941633</v>
      </c>
      <c r="U45" s="71">
        <f t="shared" si="14"/>
        <v>-76202.806798126534</v>
      </c>
      <c r="V45" s="71">
        <f t="shared" si="14"/>
        <v>-74420.437324211642</v>
      </c>
      <c r="W45" s="71">
        <f t="shared" si="14"/>
        <v>-72679.757140692076</v>
      </c>
      <c r="X45" s="71">
        <f t="shared" si="14"/>
        <v>-70979.791142821501</v>
      </c>
      <c r="Y45" s="71">
        <f t="shared" si="14"/>
        <v>-69319.587033372241</v>
      </c>
      <c r="Z45" s="71">
        <f t="shared" si="14"/>
        <v>-67698.214789171587</v>
      </c>
      <c r="AA45" s="71">
        <f t="shared" si="14"/>
        <v>-66114.766140115811</v>
      </c>
      <c r="AB45" s="71">
        <f t="shared" si="14"/>
        <v>-64568.354060369966</v>
      </c>
      <c r="AC45" s="71">
        <f t="shared" si="14"/>
        <v>-63058.112271468308</v>
      </c>
      <c r="AD45" s="71">
        <f t="shared" si="14"/>
        <v>-61583.194757037258</v>
      </c>
      <c r="AE45" s="71">
        <f t="shared" si="14"/>
        <v>-60142.775288868841</v>
      </c>
      <c r="AF45" s="71">
        <f t="shared" si="14"/>
        <v>-58736.046964079171</v>
      </c>
      <c r="AG45" s="71">
        <f t="shared" si="14"/>
        <v>-57362.221753092599</v>
      </c>
      <c r="AH45" s="71">
        <f t="shared" si="14"/>
        <v>-56020.530058198732</v>
      </c>
      <c r="AI45" s="71"/>
      <c r="AJ45" s="71"/>
      <c r="AK45" s="71"/>
      <c r="AL45" s="71"/>
      <c r="AM45" s="71"/>
      <c r="AN45" s="71"/>
      <c r="AO45" s="71"/>
      <c r="AP45" s="71"/>
      <c r="AQ45" s="71"/>
      <c r="AR45" s="71"/>
    </row>
    <row r="46" spans="1:44">
      <c r="A46" s="27"/>
      <c r="B46" s="27"/>
      <c r="C46" s="27" t="s">
        <v>29</v>
      </c>
      <c r="D46" s="71">
        <f t="shared" si="10"/>
        <v>-1415996.6629496894</v>
      </c>
      <c r="O46" s="71">
        <f>O42*O26</f>
        <v>-87830.118790803972</v>
      </c>
      <c r="P46" s="71">
        <f t="shared" ref="P46:AH46" si="15">P42*P26</f>
        <v>-85775.788652574833</v>
      </c>
      <c r="Q46" s="71">
        <f t="shared" si="15"/>
        <v>-83769.508914082544</v>
      </c>
      <c r="R46" s="71">
        <f t="shared" si="15"/>
        <v>-81810.155685416801</v>
      </c>
      <c r="S46" s="71">
        <f t="shared" si="15"/>
        <v>-79896.631364243192</v>
      </c>
      <c r="T46" s="71">
        <f t="shared" si="15"/>
        <v>-78027.864020941633</v>
      </c>
      <c r="U46" s="71">
        <f t="shared" si="15"/>
        <v>-76202.806798126534</v>
      </c>
      <c r="V46" s="71">
        <f t="shared" si="15"/>
        <v>-74420.437324211642</v>
      </c>
      <c r="W46" s="71">
        <f t="shared" si="15"/>
        <v>-72679.757140692076</v>
      </c>
      <c r="X46" s="71">
        <f t="shared" si="15"/>
        <v>-70979.791142821501</v>
      </c>
      <c r="Y46" s="71">
        <f t="shared" si="15"/>
        <v>-69319.587033372241</v>
      </c>
      <c r="Z46" s="71">
        <f t="shared" si="15"/>
        <v>-67698.214789171587</v>
      </c>
      <c r="AA46" s="71">
        <f t="shared" si="15"/>
        <v>-66114.766140115811</v>
      </c>
      <c r="AB46" s="71">
        <f t="shared" si="15"/>
        <v>-64568.354060369966</v>
      </c>
      <c r="AC46" s="71">
        <f t="shared" si="15"/>
        <v>-63058.112271468308</v>
      </c>
      <c r="AD46" s="71">
        <f t="shared" si="15"/>
        <v>-61583.194757037258</v>
      </c>
      <c r="AE46" s="71">
        <f t="shared" si="15"/>
        <v>-60142.775288868841</v>
      </c>
      <c r="AF46" s="71">
        <f t="shared" si="15"/>
        <v>-58736.046964079171</v>
      </c>
      <c r="AG46" s="71">
        <f t="shared" si="15"/>
        <v>-57362.221753092599</v>
      </c>
      <c r="AH46" s="71">
        <f t="shared" si="15"/>
        <v>-56020.530058198732</v>
      </c>
      <c r="AI46" s="71"/>
      <c r="AJ46" s="71"/>
      <c r="AK46" s="71"/>
      <c r="AL46" s="71"/>
      <c r="AM46" s="71"/>
      <c r="AN46" s="71"/>
      <c r="AO46" s="71"/>
      <c r="AP46" s="71"/>
      <c r="AQ46" s="71"/>
      <c r="AR46" s="71"/>
    </row>
    <row r="47" spans="1:44">
      <c r="A47" s="27"/>
      <c r="B47" s="27"/>
      <c r="C47" s="27" t="s">
        <v>30</v>
      </c>
      <c r="D47" s="71">
        <f t="shared" si="10"/>
        <v>0</v>
      </c>
      <c r="O47" s="71">
        <f t="shared" ref="O47:AH47" si="16">O43*H26</f>
        <v>0</v>
      </c>
      <c r="P47" s="71">
        <f t="shared" si="16"/>
        <v>0</v>
      </c>
      <c r="Q47" s="71">
        <f t="shared" si="16"/>
        <v>0</v>
      </c>
      <c r="R47" s="71">
        <f t="shared" si="16"/>
        <v>0</v>
      </c>
      <c r="S47" s="71">
        <f t="shared" si="16"/>
        <v>0</v>
      </c>
      <c r="T47" s="71">
        <f t="shared" si="16"/>
        <v>0</v>
      </c>
      <c r="U47" s="71">
        <f t="shared" si="16"/>
        <v>0</v>
      </c>
      <c r="V47" s="71">
        <f t="shared" si="16"/>
        <v>0</v>
      </c>
      <c r="W47" s="71">
        <f t="shared" si="16"/>
        <v>0</v>
      </c>
      <c r="X47" s="71">
        <f t="shared" si="16"/>
        <v>0</v>
      </c>
      <c r="Y47" s="71">
        <f t="shared" si="16"/>
        <v>0</v>
      </c>
      <c r="Z47" s="71">
        <f t="shared" si="16"/>
        <v>0</v>
      </c>
      <c r="AA47" s="71">
        <f t="shared" si="16"/>
        <v>0</v>
      </c>
      <c r="AB47" s="71">
        <f t="shared" si="16"/>
        <v>0</v>
      </c>
      <c r="AC47" s="71">
        <f t="shared" si="16"/>
        <v>0</v>
      </c>
      <c r="AD47" s="71">
        <f t="shared" si="16"/>
        <v>0</v>
      </c>
      <c r="AE47" s="71">
        <f t="shared" si="16"/>
        <v>0</v>
      </c>
      <c r="AF47" s="71">
        <f t="shared" si="16"/>
        <v>0</v>
      </c>
      <c r="AG47" s="71">
        <f t="shared" si="16"/>
        <v>0</v>
      </c>
      <c r="AH47" s="71">
        <f t="shared" si="16"/>
        <v>0</v>
      </c>
      <c r="AI47" s="71"/>
      <c r="AJ47" s="71"/>
      <c r="AK47" s="71"/>
      <c r="AL47" s="71"/>
      <c r="AM47" s="71"/>
      <c r="AN47" s="71"/>
      <c r="AO47" s="71"/>
      <c r="AP47" s="71"/>
      <c r="AQ47" s="71"/>
      <c r="AR47" s="71"/>
    </row>
  </sheetData>
  <mergeCells count="5">
    <mergeCell ref="A3:D3"/>
    <mergeCell ref="F3:G3"/>
    <mergeCell ref="F8:G8"/>
    <mergeCell ref="A13:D13"/>
    <mergeCell ref="F14:G14"/>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57A87-0F3E-3245-952F-96ED670BFA2A}">
  <sheetPr>
    <tabColor rgb="FF00B0F0"/>
  </sheetPr>
  <dimension ref="A1:CQ198"/>
  <sheetViews>
    <sheetView workbookViewId="0">
      <selection activeCell="F21" sqref="F21"/>
    </sheetView>
  </sheetViews>
  <sheetFormatPr defaultColWidth="11.19921875" defaultRowHeight="15.6"/>
  <cols>
    <col min="3" max="3" width="19.69921875" customWidth="1"/>
    <col min="4" max="4" width="25.5" customWidth="1"/>
    <col min="5" max="5" width="28.19921875" customWidth="1"/>
    <col min="6" max="6" width="26.296875" customWidth="1"/>
    <col min="7" max="62" width="15.796875" customWidth="1"/>
    <col min="63" max="63" width="15.5" customWidth="1"/>
    <col min="64" max="94" width="15.796875" customWidth="1"/>
    <col min="95" max="95" width="14.69921875" customWidth="1"/>
  </cols>
  <sheetData>
    <row r="1" spans="1:11" s="157" customFormat="1" ht="21">
      <c r="A1" s="158" t="s">
        <v>163</v>
      </c>
    </row>
    <row r="3" spans="1:11" ht="21">
      <c r="A3" s="347" t="s">
        <v>1</v>
      </c>
      <c r="B3" s="348"/>
      <c r="C3" s="348"/>
      <c r="D3" s="349"/>
      <c r="F3" s="321" t="s">
        <v>2</v>
      </c>
      <c r="G3" s="322"/>
    </row>
    <row r="4" spans="1:11">
      <c r="A4" s="55" t="s">
        <v>3</v>
      </c>
      <c r="B4" s="22"/>
      <c r="C4" s="22"/>
      <c r="D4" s="131">
        <f>Data!D35</f>
        <v>1990</v>
      </c>
      <c r="F4" s="6" t="s">
        <v>4</v>
      </c>
      <c r="G4" s="7">
        <f>D10</f>
        <v>164808</v>
      </c>
    </row>
    <row r="5" spans="1:11">
      <c r="A5" s="4" t="s">
        <v>5</v>
      </c>
      <c r="B5" s="126"/>
      <c r="C5" s="126"/>
      <c r="D5" s="8">
        <f>Data!F35</f>
        <v>0.09</v>
      </c>
      <c r="F5" s="6" t="s">
        <v>6</v>
      </c>
      <c r="G5" s="9">
        <f>D30*-1</f>
        <v>383987.78172028367</v>
      </c>
    </row>
    <row r="6" spans="1:11">
      <c r="A6" s="4" t="s">
        <v>7</v>
      </c>
      <c r="B6" s="126"/>
      <c r="C6" s="126"/>
      <c r="D6" s="10">
        <f>Data!G35</f>
        <v>8</v>
      </c>
      <c r="F6" s="11" t="s">
        <v>8</v>
      </c>
      <c r="G6" s="12">
        <f>D34*-1</f>
        <v>76872.668196523577</v>
      </c>
    </row>
    <row r="7" spans="1:11">
      <c r="A7" s="4" t="s">
        <v>9</v>
      </c>
      <c r="B7" s="126"/>
      <c r="C7" s="126"/>
      <c r="D7" s="10">
        <f>Data!E35</f>
        <v>19</v>
      </c>
      <c r="I7" s="258"/>
      <c r="J7" s="258"/>
      <c r="K7" s="258"/>
    </row>
    <row r="8" spans="1:11">
      <c r="A8" s="4" t="s">
        <v>10</v>
      </c>
      <c r="B8" s="126"/>
      <c r="C8" s="126"/>
      <c r="D8" s="10">
        <v>2</v>
      </c>
      <c r="F8" s="321" t="s">
        <v>11</v>
      </c>
      <c r="G8" s="322"/>
      <c r="I8" s="288"/>
      <c r="J8" s="258"/>
      <c r="K8" s="258"/>
    </row>
    <row r="9" spans="1:11">
      <c r="A9" s="4" t="s">
        <v>12</v>
      </c>
      <c r="B9" s="126"/>
      <c r="C9" s="126"/>
      <c r="D9" s="10">
        <f>(D7-D6)*2</f>
        <v>22</v>
      </c>
      <c r="F9" s="6" t="s">
        <v>4</v>
      </c>
      <c r="G9" s="7">
        <f>D10</f>
        <v>164808</v>
      </c>
      <c r="I9" s="289"/>
      <c r="J9" s="258"/>
      <c r="K9" s="258"/>
    </row>
    <row r="10" spans="1:11">
      <c r="A10" s="4" t="s">
        <v>164</v>
      </c>
      <c r="B10" s="126"/>
      <c r="C10" s="126"/>
      <c r="D10" s="147">
        <f>Data!B35</f>
        <v>164808</v>
      </c>
      <c r="F10" s="6" t="s">
        <v>31</v>
      </c>
      <c r="G10" s="9">
        <f>D20</f>
        <v>99050</v>
      </c>
      <c r="I10" s="290"/>
      <c r="J10" s="290"/>
      <c r="K10" s="290"/>
    </row>
    <row r="11" spans="1:11">
      <c r="A11" s="13" t="s">
        <v>15</v>
      </c>
      <c r="B11" s="14"/>
      <c r="C11" s="14"/>
      <c r="D11" s="15">
        <v>0.12620000000000001</v>
      </c>
      <c r="F11" s="6" t="s">
        <v>6</v>
      </c>
      <c r="G11" s="9">
        <f>D41*-1</f>
        <v>152471.657185594</v>
      </c>
      <c r="I11" s="291"/>
      <c r="J11" s="291"/>
      <c r="K11" s="291"/>
    </row>
    <row r="12" spans="1:11">
      <c r="F12" s="11" t="s">
        <v>8</v>
      </c>
      <c r="G12" s="12">
        <f>D45*-1</f>
        <v>3923.5980041953826</v>
      </c>
      <c r="I12" s="291"/>
      <c r="J12" s="291"/>
      <c r="K12" s="291"/>
    </row>
    <row r="13" spans="1:11" ht="20.399999999999999">
      <c r="A13" s="354" t="s">
        <v>16</v>
      </c>
      <c r="B13" s="355"/>
      <c r="C13" s="355"/>
      <c r="D13" s="356"/>
      <c r="F13" s="16"/>
      <c r="I13" s="291"/>
      <c r="J13" s="291"/>
      <c r="K13" s="291"/>
    </row>
    <row r="14" spans="1:11">
      <c r="A14" s="132" t="s">
        <v>17</v>
      </c>
      <c r="B14" s="133"/>
      <c r="C14" s="133"/>
      <c r="D14" s="134">
        <f>Data!H35</f>
        <v>2009</v>
      </c>
      <c r="F14" s="323" t="s">
        <v>109</v>
      </c>
      <c r="G14" s="324"/>
      <c r="I14" s="291"/>
      <c r="J14" s="291"/>
      <c r="K14" s="291"/>
    </row>
    <row r="15" spans="1:11">
      <c r="A15" s="135" t="s">
        <v>5</v>
      </c>
      <c r="B15" s="136"/>
      <c r="C15" s="136"/>
      <c r="D15" s="145">
        <f>Data!N35</f>
        <v>3.5000000000000003E-2</v>
      </c>
      <c r="F15" s="121" t="s">
        <v>44</v>
      </c>
      <c r="G15" s="118" t="s">
        <v>45</v>
      </c>
      <c r="I15" s="291"/>
      <c r="J15" s="291"/>
      <c r="K15" s="291"/>
    </row>
    <row r="16" spans="1:11">
      <c r="A16" s="135" t="s">
        <v>7</v>
      </c>
      <c r="B16" s="136"/>
      <c r="C16" s="136"/>
      <c r="D16" s="137">
        <f>Data!O35</f>
        <v>24</v>
      </c>
      <c r="F16" s="119">
        <f>(1-((D5/D8)/D21))*(1-(((1/((1+D21)^(D8*D6)))-(1/((1+D21)^(D8*D7))))/(D21*(D8*D7-D8*D6))))</f>
        <v>-0.39679654452595364</v>
      </c>
      <c r="G16" s="122">
        <f>(1-((D15/D18)/D21))*(1-(((1/((1+D21)^(D18*D16)))-(1/((1+D21)^(D18*D17))))/(D21*(D18*D17-D18*D16))))+((D10-D20)/D10)</f>
        <v>0.6242699434308282</v>
      </c>
      <c r="I16" s="291"/>
      <c r="J16" s="292"/>
      <c r="K16" s="292"/>
    </row>
    <row r="17" spans="1:63">
      <c r="A17" s="135" t="s">
        <v>9</v>
      </c>
      <c r="B17" s="136"/>
      <c r="C17" s="136"/>
      <c r="D17" s="137">
        <f>Data!M35</f>
        <v>37</v>
      </c>
      <c r="I17" s="258"/>
      <c r="J17" s="258"/>
      <c r="K17" s="258"/>
    </row>
    <row r="18" spans="1:63">
      <c r="A18" s="135" t="s">
        <v>10</v>
      </c>
      <c r="B18" s="136"/>
      <c r="C18" s="136"/>
      <c r="D18" s="137">
        <v>2</v>
      </c>
      <c r="I18" s="258"/>
      <c r="J18" s="258"/>
      <c r="K18" s="258"/>
    </row>
    <row r="19" spans="1:63">
      <c r="A19" s="135" t="s">
        <v>12</v>
      </c>
      <c r="B19" s="136"/>
      <c r="C19" s="136"/>
      <c r="D19" s="137">
        <f>(D17-D16)*D18</f>
        <v>26</v>
      </c>
      <c r="I19" s="258"/>
      <c r="J19" s="258"/>
      <c r="K19" s="258"/>
    </row>
    <row r="20" spans="1:63">
      <c r="A20" s="135" t="s">
        <v>265</v>
      </c>
      <c r="B20" s="136"/>
      <c r="C20" s="136"/>
      <c r="D20" s="154">
        <f>Data!L35</f>
        <v>99050</v>
      </c>
      <c r="I20" s="258"/>
      <c r="J20" s="258"/>
      <c r="K20" s="258"/>
    </row>
    <row r="21" spans="1:63">
      <c r="A21" s="196" t="s">
        <v>187</v>
      </c>
      <c r="B21" s="14"/>
      <c r="C21" s="14"/>
      <c r="D21" s="195">
        <f>(1.05^0.5)-1</f>
        <v>2.4695076595959931E-2</v>
      </c>
      <c r="I21" s="258"/>
      <c r="J21" s="258"/>
      <c r="K21" s="258"/>
    </row>
    <row r="23" spans="1:63" ht="78">
      <c r="A23" s="302" t="s">
        <v>43</v>
      </c>
      <c r="E23" s="53" t="s">
        <v>25</v>
      </c>
      <c r="AA23" s="21" t="s">
        <v>211</v>
      </c>
      <c r="AK23" s="51"/>
      <c r="AL23" s="21" t="s">
        <v>40</v>
      </c>
      <c r="BJ23" s="51"/>
      <c r="BK23" s="21" t="s">
        <v>149</v>
      </c>
    </row>
    <row r="24" spans="1:63">
      <c r="A24" s="2" t="s">
        <v>23</v>
      </c>
      <c r="E24" s="139" t="s">
        <v>214</v>
      </c>
      <c r="F24" s="24">
        <v>36160</v>
      </c>
      <c r="G24" s="24">
        <v>36341</v>
      </c>
      <c r="H24" s="24">
        <v>36525</v>
      </c>
      <c r="I24" s="24">
        <v>36707</v>
      </c>
      <c r="J24" s="24">
        <v>36891</v>
      </c>
      <c r="K24" s="24">
        <v>37072</v>
      </c>
      <c r="L24" s="24">
        <v>37256</v>
      </c>
      <c r="M24" s="24">
        <v>37437</v>
      </c>
      <c r="N24" s="24">
        <v>37621</v>
      </c>
      <c r="O24" s="24">
        <v>37802</v>
      </c>
      <c r="P24" s="24">
        <v>37986</v>
      </c>
      <c r="Q24" s="24">
        <v>38168</v>
      </c>
      <c r="R24" s="24">
        <v>38352</v>
      </c>
      <c r="S24" s="24">
        <v>38533</v>
      </c>
      <c r="T24" s="24">
        <v>38717</v>
      </c>
      <c r="U24" s="24">
        <v>38898</v>
      </c>
      <c r="V24" s="24">
        <v>39082</v>
      </c>
      <c r="W24" s="24">
        <v>39263</v>
      </c>
      <c r="X24" s="24">
        <v>39447</v>
      </c>
      <c r="Y24" s="24">
        <v>39629</v>
      </c>
      <c r="Z24" s="24">
        <v>39813</v>
      </c>
      <c r="AA24" s="24">
        <v>39994</v>
      </c>
      <c r="AB24" s="24">
        <v>40178</v>
      </c>
      <c r="AC24" s="24">
        <v>40359</v>
      </c>
      <c r="AD24" s="24">
        <v>40543</v>
      </c>
      <c r="AE24" s="24">
        <v>40724</v>
      </c>
      <c r="AF24" s="24">
        <v>40908</v>
      </c>
      <c r="AG24" s="24">
        <v>41090</v>
      </c>
      <c r="AH24" s="24">
        <v>41274</v>
      </c>
      <c r="AI24" s="24">
        <v>41455</v>
      </c>
      <c r="AJ24" s="24">
        <v>41639</v>
      </c>
      <c r="AK24" s="24">
        <v>41820</v>
      </c>
      <c r="AL24" s="24">
        <v>42004</v>
      </c>
      <c r="AM24" s="24">
        <v>42185</v>
      </c>
      <c r="AN24" s="24">
        <v>42369</v>
      </c>
      <c r="AO24" s="24">
        <v>42551</v>
      </c>
      <c r="AP24" s="24">
        <v>42735</v>
      </c>
      <c r="AQ24" s="24">
        <v>42916</v>
      </c>
      <c r="AR24" s="24">
        <v>43100</v>
      </c>
      <c r="AS24" s="24">
        <v>43281</v>
      </c>
      <c r="AT24" s="24">
        <v>43465</v>
      </c>
      <c r="AU24" s="24">
        <v>43646</v>
      </c>
      <c r="AV24" s="24">
        <v>43830</v>
      </c>
      <c r="AW24" s="24">
        <v>44012</v>
      </c>
      <c r="AX24" s="24">
        <v>44196</v>
      </c>
      <c r="AY24" s="24">
        <v>44377</v>
      </c>
      <c r="AZ24" s="24">
        <v>44561</v>
      </c>
      <c r="BA24" s="24">
        <v>44742</v>
      </c>
      <c r="BB24" s="24">
        <v>44926</v>
      </c>
      <c r="BC24" s="24">
        <v>45107</v>
      </c>
      <c r="BD24" s="24">
        <v>45291</v>
      </c>
      <c r="BE24" s="24">
        <v>45473</v>
      </c>
      <c r="BF24" s="24">
        <v>45657</v>
      </c>
      <c r="BG24" s="24">
        <v>45838</v>
      </c>
      <c r="BH24" s="24">
        <v>46022</v>
      </c>
      <c r="BI24" s="24">
        <v>46203</v>
      </c>
      <c r="BJ24" s="24">
        <v>46387</v>
      </c>
      <c r="BK24" s="24">
        <v>46568</v>
      </c>
    </row>
    <row r="25" spans="1:63">
      <c r="A25" s="2" t="s">
        <v>38</v>
      </c>
      <c r="F25">
        <v>17</v>
      </c>
      <c r="G25">
        <v>18</v>
      </c>
      <c r="H25">
        <v>19</v>
      </c>
      <c r="I25">
        <v>20</v>
      </c>
      <c r="J25">
        <v>21</v>
      </c>
      <c r="K25">
        <v>22</v>
      </c>
      <c r="L25">
        <v>23</v>
      </c>
      <c r="M25">
        <v>24</v>
      </c>
      <c r="N25">
        <v>25</v>
      </c>
      <c r="O25">
        <v>26</v>
      </c>
      <c r="P25">
        <v>27</v>
      </c>
      <c r="Q25">
        <v>28</v>
      </c>
      <c r="R25">
        <v>29</v>
      </c>
      <c r="S25">
        <v>30</v>
      </c>
      <c r="T25">
        <v>31</v>
      </c>
      <c r="U25">
        <v>32</v>
      </c>
      <c r="V25">
        <v>33</v>
      </c>
      <c r="W25">
        <v>34</v>
      </c>
      <c r="X25">
        <v>35</v>
      </c>
      <c r="Y25">
        <v>36</v>
      </c>
      <c r="Z25">
        <v>37</v>
      </c>
      <c r="AA25">
        <v>38</v>
      </c>
      <c r="AB25">
        <v>39</v>
      </c>
      <c r="AC25">
        <v>40</v>
      </c>
      <c r="AD25">
        <v>41</v>
      </c>
      <c r="AE25">
        <v>42</v>
      </c>
      <c r="AF25">
        <v>43</v>
      </c>
      <c r="AG25">
        <v>44</v>
      </c>
      <c r="AH25">
        <v>45</v>
      </c>
      <c r="AI25">
        <v>46</v>
      </c>
      <c r="AJ25">
        <v>47</v>
      </c>
      <c r="AK25">
        <v>48</v>
      </c>
      <c r="AL25">
        <v>49</v>
      </c>
      <c r="AM25">
        <v>50</v>
      </c>
      <c r="AN25">
        <v>51</v>
      </c>
      <c r="AO25">
        <v>52</v>
      </c>
      <c r="AP25">
        <v>53</v>
      </c>
      <c r="AQ25">
        <v>54</v>
      </c>
      <c r="AR25">
        <v>55</v>
      </c>
      <c r="AS25">
        <v>56</v>
      </c>
      <c r="AT25">
        <v>57</v>
      </c>
      <c r="AU25">
        <v>58</v>
      </c>
      <c r="AV25">
        <v>59</v>
      </c>
      <c r="AW25">
        <v>60</v>
      </c>
      <c r="AX25">
        <v>61</v>
      </c>
      <c r="AY25">
        <v>62</v>
      </c>
      <c r="AZ25">
        <v>63</v>
      </c>
      <c r="BA25">
        <v>64</v>
      </c>
      <c r="BB25">
        <v>65</v>
      </c>
      <c r="BC25">
        <v>66</v>
      </c>
      <c r="BD25">
        <v>67</v>
      </c>
      <c r="BE25">
        <v>68</v>
      </c>
      <c r="BF25">
        <v>69</v>
      </c>
      <c r="BG25">
        <v>70</v>
      </c>
      <c r="BH25">
        <v>71</v>
      </c>
      <c r="BI25">
        <v>72</v>
      </c>
      <c r="BJ25">
        <v>73</v>
      </c>
      <c r="BK25">
        <v>74</v>
      </c>
    </row>
    <row r="26" spans="1:63">
      <c r="A26" s="2" t="s">
        <v>26</v>
      </c>
      <c r="F26" s="138">
        <f>1/((1+($D$11/$D$8))^(F25))</f>
        <v>0.35337839300190277</v>
      </c>
      <c r="G26" s="138">
        <f>1/((1+($D$11/$D$8))^(G25))</f>
        <v>0.33240371837259219</v>
      </c>
      <c r="H26" s="138">
        <f t="shared" ref="H26:BK26" si="0">1/((1+($D$11/$D$8))^(H25))</f>
        <v>0.31267398962712084</v>
      </c>
      <c r="I26" s="138">
        <f t="shared" si="0"/>
        <v>0.29411531335445479</v>
      </c>
      <c r="J26" s="138">
        <f t="shared" si="0"/>
        <v>0.27665818206608483</v>
      </c>
      <c r="K26" s="138">
        <f t="shared" si="0"/>
        <v>0.26023721387083515</v>
      </c>
      <c r="L26" s="138">
        <f t="shared" si="0"/>
        <v>0.24479090760119948</v>
      </c>
      <c r="M26" s="138">
        <f t="shared" si="0"/>
        <v>0.23026141247408474</v>
      </c>
      <c r="N26" s="138">
        <f t="shared" si="0"/>
        <v>0.21659431142327601</v>
      </c>
      <c r="O26" s="138">
        <f t="shared" si="0"/>
        <v>0.20373841729214187</v>
      </c>
      <c r="P26" s="138">
        <f t="shared" si="0"/>
        <v>0.19164558112326391</v>
      </c>
      <c r="Q26" s="138">
        <f t="shared" si="0"/>
        <v>0.18027051182698139</v>
      </c>
      <c r="R26" s="138">
        <f t="shared" si="0"/>
        <v>0.16957060655345818</v>
      </c>
      <c r="S26" s="138">
        <f t="shared" si="0"/>
        <v>0.15950579113296792</v>
      </c>
      <c r="T26" s="138">
        <f t="shared" si="0"/>
        <v>0.15003836998680078</v>
      </c>
      <c r="U26" s="138">
        <f t="shared" si="0"/>
        <v>0.14113288494666618</v>
      </c>
      <c r="V26" s="138">
        <f t="shared" si="0"/>
        <v>0.13275598245382955</v>
      </c>
      <c r="W26" s="138">
        <f t="shared" si="0"/>
        <v>0.12487628864060722</v>
      </c>
      <c r="X26" s="138">
        <f t="shared" si="0"/>
        <v>0.11746429182636368</v>
      </c>
      <c r="Y26" s="138">
        <f t="shared" si="0"/>
        <v>0.11049223198792557</v>
      </c>
      <c r="Z26" s="138">
        <f t="shared" si="0"/>
        <v>0.10393399679044829</v>
      </c>
      <c r="AA26" s="138">
        <f t="shared" si="0"/>
        <v>9.7765023789340905E-2</v>
      </c>
      <c r="AB26" s="138">
        <f t="shared" si="0"/>
        <v>9.1962208436968201E-2</v>
      </c>
      <c r="AC26" s="138">
        <f t="shared" si="0"/>
        <v>8.6503817549589135E-2</v>
      </c>
      <c r="AD26" s="138">
        <f t="shared" si="0"/>
        <v>8.1369407910440353E-2</v>
      </c>
      <c r="AE26" s="138">
        <f t="shared" si="0"/>
        <v>7.653974970411094E-2</v>
      </c>
      <c r="AF26" s="138">
        <f t="shared" si="0"/>
        <v>7.1996754495448165E-2</v>
      </c>
      <c r="AG26" s="138">
        <f t="shared" si="0"/>
        <v>6.7723407483254797E-2</v>
      </c>
      <c r="AH26" s="138">
        <f t="shared" si="0"/>
        <v>6.3703703775049192E-2</v>
      </c>
      <c r="AI26" s="138">
        <f t="shared" si="0"/>
        <v>5.992258844421898E-2</v>
      </c>
      <c r="AJ26" s="138">
        <f t="shared" si="0"/>
        <v>5.6365900145065345E-2</v>
      </c>
      <c r="AK26" s="138">
        <f t="shared" si="0"/>
        <v>5.3020318074560591E-2</v>
      </c>
      <c r="AL26" s="138">
        <f t="shared" si="0"/>
        <v>4.9873312082175325E-2</v>
      </c>
      <c r="AM26" s="138">
        <f t="shared" si="0"/>
        <v>4.6913095740923082E-2</v>
      </c>
      <c r="AN26" s="138">
        <f t="shared" si="0"/>
        <v>4.412858220385954E-2</v>
      </c>
      <c r="AO26" s="138">
        <f t="shared" si="0"/>
        <v>4.1509342680706947E-2</v>
      </c>
      <c r="AP26" s="138">
        <f t="shared" si="0"/>
        <v>3.9045567379086571E-2</v>
      </c>
      <c r="AQ26" s="138">
        <f t="shared" si="0"/>
        <v>3.6728028764073543E-2</v>
      </c>
      <c r="AR26" s="138">
        <f t="shared" si="0"/>
        <v>3.4548046998470076E-2</v>
      </c>
      <c r="AS26" s="138">
        <f t="shared" si="0"/>
        <v>3.2497457434361846E-2</v>
      </c>
      <c r="AT26" s="138">
        <f t="shared" si="0"/>
        <v>3.05685800342036E-2</v>
      </c>
      <c r="AU26" s="138">
        <f t="shared" si="0"/>
        <v>2.8754190606907724E-2</v>
      </c>
      <c r="AV26" s="138">
        <f t="shared" si="0"/>
        <v>2.7047493751206585E-2</v>
      </c>
      <c r="AW26" s="138">
        <f t="shared" si="0"/>
        <v>2.5442097404953991E-2</v>
      </c>
      <c r="AX26" s="138">
        <f t="shared" si="0"/>
        <v>2.3931988905045609E-2</v>
      </c>
      <c r="AY26" s="138">
        <f t="shared" si="0"/>
        <v>2.2511512468296128E-2</v>
      </c>
      <c r="AZ26" s="138">
        <f t="shared" si="0"/>
        <v>2.117534800893249E-2</v>
      </c>
      <c r="BA26" s="138">
        <f t="shared" si="0"/>
        <v>1.9918491213368913E-2</v>
      </c>
      <c r="BB26" s="138">
        <f t="shared" si="0"/>
        <v>1.873623479763796E-2</v>
      </c>
      <c r="BC26" s="138">
        <f t="shared" si="0"/>
        <v>1.7624150877281496E-2</v>
      </c>
      <c r="BD26" s="138">
        <f t="shared" si="0"/>
        <v>1.6578074383671808E-2</v>
      </c>
      <c r="BE26" s="138">
        <f t="shared" si="0"/>
        <v>1.5594087464652252E-2</v>
      </c>
      <c r="BF26" s="138">
        <f t="shared" si="0"/>
        <v>1.4668504811073511E-2</v>
      </c>
      <c r="BG26" s="138">
        <f t="shared" si="0"/>
        <v>1.379785985426913E-2</v>
      </c>
      <c r="BH26" s="138">
        <f t="shared" si="0"/>
        <v>1.2978891782775967E-2</v>
      </c>
      <c r="BI26" s="138">
        <f t="shared" si="0"/>
        <v>1.2208533329673565E-2</v>
      </c>
      <c r="BJ26" s="138">
        <f t="shared" si="0"/>
        <v>1.1483899284802528E-2</v>
      </c>
      <c r="BK26" s="138">
        <f t="shared" si="0"/>
        <v>1.0802275688836916E-2</v>
      </c>
    </row>
    <row r="28" spans="1:63" ht="21">
      <c r="A28" s="29" t="s">
        <v>27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row>
    <row r="29" spans="1:63">
      <c r="A29" s="2" t="s">
        <v>37</v>
      </c>
      <c r="F29">
        <v>1</v>
      </c>
      <c r="G29">
        <v>2</v>
      </c>
      <c r="H29">
        <v>3</v>
      </c>
      <c r="I29">
        <v>4</v>
      </c>
      <c r="J29">
        <v>5</v>
      </c>
      <c r="K29">
        <v>6</v>
      </c>
      <c r="L29">
        <v>7</v>
      </c>
      <c r="M29">
        <v>8</v>
      </c>
      <c r="N29">
        <v>9</v>
      </c>
      <c r="O29">
        <v>10</v>
      </c>
      <c r="P29">
        <v>11</v>
      </c>
      <c r="Q29">
        <v>12</v>
      </c>
      <c r="R29">
        <v>13</v>
      </c>
      <c r="S29">
        <v>14</v>
      </c>
      <c r="T29">
        <v>15</v>
      </c>
      <c r="U29">
        <v>16</v>
      </c>
      <c r="V29">
        <v>17</v>
      </c>
      <c r="W29">
        <v>18</v>
      </c>
      <c r="X29">
        <v>19</v>
      </c>
      <c r="Y29">
        <v>20</v>
      </c>
      <c r="Z29">
        <v>21</v>
      </c>
      <c r="AA29">
        <v>22</v>
      </c>
    </row>
    <row r="30" spans="1:63">
      <c r="A30" s="27"/>
      <c r="B30" s="26" t="s">
        <v>28</v>
      </c>
      <c r="C30" s="27"/>
      <c r="D30" s="71">
        <f>SUM(F30:CQ30)</f>
        <v>-383987.78172028367</v>
      </c>
      <c r="E30" s="71"/>
      <c r="F30" s="71">
        <f>PMT($D$5,$D$9,$D$10)</f>
        <v>-17453.990078194718</v>
      </c>
      <c r="G30" s="71">
        <f t="shared" ref="G30:AA30" si="1">PMT($D$5,$D$9,$D$10)</f>
        <v>-17453.990078194718</v>
      </c>
      <c r="H30" s="71">
        <f t="shared" si="1"/>
        <v>-17453.990078194718</v>
      </c>
      <c r="I30" s="71">
        <f t="shared" si="1"/>
        <v>-17453.990078194718</v>
      </c>
      <c r="J30" s="71">
        <f t="shared" si="1"/>
        <v>-17453.990078194718</v>
      </c>
      <c r="K30" s="71">
        <f t="shared" si="1"/>
        <v>-17453.990078194718</v>
      </c>
      <c r="L30" s="71">
        <f t="shared" si="1"/>
        <v>-17453.990078194718</v>
      </c>
      <c r="M30" s="71">
        <f t="shared" si="1"/>
        <v>-17453.990078194718</v>
      </c>
      <c r="N30" s="71">
        <f t="shared" si="1"/>
        <v>-17453.990078194718</v>
      </c>
      <c r="O30" s="71">
        <f t="shared" si="1"/>
        <v>-17453.990078194718</v>
      </c>
      <c r="P30" s="71">
        <f t="shared" si="1"/>
        <v>-17453.990078194718</v>
      </c>
      <c r="Q30" s="71">
        <f t="shared" si="1"/>
        <v>-17453.990078194718</v>
      </c>
      <c r="R30" s="71">
        <f t="shared" si="1"/>
        <v>-17453.990078194718</v>
      </c>
      <c r="S30" s="71">
        <f t="shared" si="1"/>
        <v>-17453.990078194718</v>
      </c>
      <c r="T30" s="71">
        <f t="shared" si="1"/>
        <v>-17453.990078194718</v>
      </c>
      <c r="U30" s="71">
        <f t="shared" si="1"/>
        <v>-17453.990078194718</v>
      </c>
      <c r="V30" s="71">
        <f t="shared" si="1"/>
        <v>-17453.990078194718</v>
      </c>
      <c r="W30" s="71">
        <f t="shared" si="1"/>
        <v>-17453.990078194718</v>
      </c>
      <c r="X30" s="71">
        <f t="shared" si="1"/>
        <v>-17453.990078194718</v>
      </c>
      <c r="Y30" s="71">
        <f t="shared" si="1"/>
        <v>-17453.990078194718</v>
      </c>
      <c r="Z30" s="71">
        <f t="shared" si="1"/>
        <v>-17453.990078194718</v>
      </c>
      <c r="AA30" s="71">
        <f t="shared" si="1"/>
        <v>-17453.990078194718</v>
      </c>
    </row>
    <row r="31" spans="1:63">
      <c r="A31" s="27"/>
      <c r="B31" s="27"/>
      <c r="C31" s="27" t="s">
        <v>29</v>
      </c>
      <c r="D31" s="71">
        <f t="shared" ref="D31:D36" si="2">SUM(F31:CQ31)</f>
        <v>-164807.99999999997</v>
      </c>
      <c r="E31" s="71"/>
      <c r="F31" s="71">
        <f t="shared" ref="F31:AA31" si="3">PPMT($D$5,F$29,$D$9,$D$10)</f>
        <v>-2621.2700781947201</v>
      </c>
      <c r="G31" s="71">
        <f t="shared" si="3"/>
        <v>-2857.1843852322445</v>
      </c>
      <c r="H31" s="71">
        <f t="shared" si="3"/>
        <v>-3114.3309799031472</v>
      </c>
      <c r="I31" s="71">
        <f t="shared" si="3"/>
        <v>-3394.6207680944303</v>
      </c>
      <c r="J31" s="71">
        <f t="shared" si="3"/>
        <v>-3700.136637222929</v>
      </c>
      <c r="K31" s="71">
        <f t="shared" si="3"/>
        <v>-4033.1489345729929</v>
      </c>
      <c r="L31" s="71">
        <f t="shared" si="3"/>
        <v>-4396.1323386845615</v>
      </c>
      <c r="M31" s="71">
        <f t="shared" si="3"/>
        <v>-4791.7842491661722</v>
      </c>
      <c r="N31" s="71">
        <f t="shared" si="3"/>
        <v>-5223.0448315911281</v>
      </c>
      <c r="O31" s="71">
        <f t="shared" si="3"/>
        <v>-5693.118866434329</v>
      </c>
      <c r="P31" s="71">
        <f t="shared" si="3"/>
        <v>-6205.4995644134178</v>
      </c>
      <c r="Q31" s="71">
        <f t="shared" si="3"/>
        <v>-6763.9945252106272</v>
      </c>
      <c r="R31" s="71">
        <f t="shared" si="3"/>
        <v>-7372.7540324795846</v>
      </c>
      <c r="S31" s="71">
        <f t="shared" si="3"/>
        <v>-8036.3018954027466</v>
      </c>
      <c r="T31" s="71">
        <f t="shared" si="3"/>
        <v>-8759.5690659889951</v>
      </c>
      <c r="U31" s="71">
        <f t="shared" si="3"/>
        <v>-9547.9302819280019</v>
      </c>
      <c r="V31" s="71">
        <f t="shared" si="3"/>
        <v>-10407.244007301524</v>
      </c>
      <c r="W31" s="71">
        <f t="shared" si="3"/>
        <v>-11343.895967958661</v>
      </c>
      <c r="X31" s="71">
        <f t="shared" si="3"/>
        <v>-12364.846605074939</v>
      </c>
      <c r="Y31" s="71">
        <f t="shared" si="3"/>
        <v>-13477.682799531683</v>
      </c>
      <c r="Z31" s="71">
        <f t="shared" si="3"/>
        <v>-14690.674251489538</v>
      </c>
      <c r="AA31" s="71">
        <f t="shared" si="3"/>
        <v>-16012.834934123593</v>
      </c>
    </row>
    <row r="32" spans="1:63">
      <c r="A32" s="27"/>
      <c r="B32" s="27"/>
      <c r="C32" s="27" t="s">
        <v>30</v>
      </c>
      <c r="D32" s="71">
        <f t="shared" si="2"/>
        <v>-219179.78172028385</v>
      </c>
      <c r="E32" s="71"/>
      <c r="F32" s="71">
        <f>IPMT($D$5,F$29,$D$9,$D$10)</f>
        <v>-14832.72</v>
      </c>
      <c r="G32" s="71">
        <f t="shared" ref="G32:AA32" si="4">IPMT($D$5,G$29,$D$9,$D$10)</f>
        <v>-14596.805692962473</v>
      </c>
      <c r="H32" s="71">
        <f t="shared" si="4"/>
        <v>-14339.659098291571</v>
      </c>
      <c r="I32" s="71">
        <f t="shared" si="4"/>
        <v>-14059.369310100288</v>
      </c>
      <c r="J32" s="71">
        <f t="shared" si="4"/>
        <v>-13753.853440971789</v>
      </c>
      <c r="K32" s="71">
        <f t="shared" si="4"/>
        <v>-13420.841143621727</v>
      </c>
      <c r="L32" s="71">
        <f t="shared" si="4"/>
        <v>-13057.857739510158</v>
      </c>
      <c r="M32" s="71">
        <f t="shared" si="4"/>
        <v>-12662.205829028544</v>
      </c>
      <c r="N32" s="71">
        <f t="shared" si="4"/>
        <v>-12230.945246603591</v>
      </c>
      <c r="O32" s="71">
        <f t="shared" si="4"/>
        <v>-11760.871211760388</v>
      </c>
      <c r="P32" s="71">
        <f t="shared" si="4"/>
        <v>-11248.4905137813</v>
      </c>
      <c r="Q32" s="71">
        <f t="shared" si="4"/>
        <v>-10689.995552984092</v>
      </c>
      <c r="R32" s="71">
        <f t="shared" si="4"/>
        <v>-10081.236045715135</v>
      </c>
      <c r="S32" s="71">
        <f t="shared" si="4"/>
        <v>-9417.6881827919715</v>
      </c>
      <c r="T32" s="71">
        <f t="shared" si="4"/>
        <v>-8694.4210122057266</v>
      </c>
      <c r="U32" s="71">
        <f t="shared" si="4"/>
        <v>-7906.0597962667161</v>
      </c>
      <c r="V32" s="71">
        <f t="shared" si="4"/>
        <v>-7046.7460708931976</v>
      </c>
      <c r="W32" s="71">
        <f t="shared" si="4"/>
        <v>-6110.0941102360584</v>
      </c>
      <c r="X32" s="71">
        <f t="shared" si="4"/>
        <v>-5089.1434731197778</v>
      </c>
      <c r="Y32" s="71">
        <f t="shared" si="4"/>
        <v>-3976.3072786630341</v>
      </c>
      <c r="Z32" s="71">
        <f t="shared" si="4"/>
        <v>-2763.3158267051822</v>
      </c>
      <c r="AA32" s="71">
        <f t="shared" si="4"/>
        <v>-1441.1551440711237</v>
      </c>
    </row>
    <row r="33" spans="1:73">
      <c r="A33" s="27"/>
      <c r="B33" s="33" t="s">
        <v>31</v>
      </c>
      <c r="C33" s="33"/>
      <c r="D33" s="71"/>
      <c r="E33" s="71">
        <f>D10</f>
        <v>164808</v>
      </c>
      <c r="F33" s="71">
        <f>E33+F31</f>
        <v>162186.72992180529</v>
      </c>
      <c r="G33" s="71">
        <f t="shared" ref="G33:W33" si="5">F33+G31</f>
        <v>159329.54553657304</v>
      </c>
      <c r="H33" s="71">
        <f t="shared" si="5"/>
        <v>156215.2145566699</v>
      </c>
      <c r="I33" s="71">
        <f t="shared" si="5"/>
        <v>152820.59378857547</v>
      </c>
      <c r="J33" s="71">
        <f t="shared" si="5"/>
        <v>149120.45715135254</v>
      </c>
      <c r="K33" s="71">
        <f t="shared" si="5"/>
        <v>145087.30821677955</v>
      </c>
      <c r="L33" s="71">
        <f t="shared" si="5"/>
        <v>140691.17587809497</v>
      </c>
      <c r="M33" s="71">
        <f t="shared" si="5"/>
        <v>135899.3916289288</v>
      </c>
      <c r="N33" s="71">
        <f t="shared" si="5"/>
        <v>130676.34679733767</v>
      </c>
      <c r="O33" s="71">
        <f t="shared" si="5"/>
        <v>124983.22793090333</v>
      </c>
      <c r="P33" s="71">
        <f t="shared" si="5"/>
        <v>118777.72836648992</v>
      </c>
      <c r="Q33" s="71">
        <f t="shared" si="5"/>
        <v>112013.73384127929</v>
      </c>
      <c r="R33" s="71">
        <f t="shared" si="5"/>
        <v>104640.9798087997</v>
      </c>
      <c r="S33" s="71">
        <f t="shared" si="5"/>
        <v>96604.677913396954</v>
      </c>
      <c r="T33" s="71">
        <f t="shared" si="5"/>
        <v>87845.108847407959</v>
      </c>
      <c r="U33" s="71">
        <f t="shared" si="5"/>
        <v>78297.178565479961</v>
      </c>
      <c r="V33" s="71">
        <f t="shared" si="5"/>
        <v>67889.934558178444</v>
      </c>
      <c r="W33" s="71">
        <f t="shared" si="5"/>
        <v>56546.038590219781</v>
      </c>
      <c r="X33" s="71">
        <f t="shared" ref="X33" si="6">W33+X31</f>
        <v>44181.19198514484</v>
      </c>
      <c r="Y33" s="71">
        <f t="shared" ref="Y33" si="7">X33+Y31</f>
        <v>30703.509185613155</v>
      </c>
      <c r="Z33" s="71">
        <f t="shared" ref="Z33" si="8">Y33+Z31</f>
        <v>16012.834934123617</v>
      </c>
      <c r="AA33" s="71">
        <f t="shared" ref="AA33" si="9">Z33+AA31</f>
        <v>2.3646862246096134E-11</v>
      </c>
    </row>
    <row r="34" spans="1:73">
      <c r="A34" s="27"/>
      <c r="B34" s="26" t="s">
        <v>32</v>
      </c>
      <c r="C34" s="27"/>
      <c r="D34" s="71">
        <f t="shared" si="2"/>
        <v>-76872.668196523577</v>
      </c>
      <c r="E34" s="71"/>
      <c r="F34" s="71">
        <f>F30*F26</f>
        <v>-6167.8629653036051</v>
      </c>
      <c r="G34" s="71">
        <f t="shared" ref="G34:AA34" si="10">G30*G26</f>
        <v>-5801.7712024302555</v>
      </c>
      <c r="H34" s="71">
        <f t="shared" si="10"/>
        <v>-5457.4087126613258</v>
      </c>
      <c r="I34" s="71">
        <f t="shared" si="10"/>
        <v>-5133.4857611337848</v>
      </c>
      <c r="J34" s="71">
        <f t="shared" si="10"/>
        <v>-4828.7891648328323</v>
      </c>
      <c r="K34" s="71">
        <f t="shared" si="10"/>
        <v>-4542.1777488785938</v>
      </c>
      <c r="L34" s="71">
        <f t="shared" si="10"/>
        <v>-4272.5780725036157</v>
      </c>
      <c r="M34" s="71">
        <f t="shared" si="10"/>
        <v>-4018.9804087137768</v>
      </c>
      <c r="N34" s="71">
        <f t="shared" si="10"/>
        <v>-3780.4349625752761</v>
      </c>
      <c r="O34" s="71">
        <f t="shared" si="10"/>
        <v>-3556.0483139641392</v>
      </c>
      <c r="P34" s="71">
        <f t="shared" si="10"/>
        <v>-3344.9800714553094</v>
      </c>
      <c r="Q34" s="71">
        <f t="shared" si="10"/>
        <v>-3146.4397248192167</v>
      </c>
      <c r="R34" s="71">
        <f t="shared" si="10"/>
        <v>-2959.6836843375195</v>
      </c>
      <c r="S34" s="71">
        <f t="shared" si="10"/>
        <v>-2784.0124958494212</v>
      </c>
      <c r="T34" s="71">
        <f t="shared" si="10"/>
        <v>-2618.7682210981293</v>
      </c>
      <c r="U34" s="71">
        <f t="shared" si="10"/>
        <v>-2463.331973566108</v>
      </c>
      <c r="V34" s="71">
        <f t="shared" si="10"/>
        <v>-2317.1216005701331</v>
      </c>
      <c r="W34" s="71">
        <f t="shared" si="10"/>
        <v>-2179.5895029349381</v>
      </c>
      <c r="X34" s="71">
        <f t="shared" si="10"/>
        <v>-2050.2205840795204</v>
      </c>
      <c r="Y34" s="71">
        <f t="shared" si="10"/>
        <v>-1928.5303208348419</v>
      </c>
      <c r="Z34" s="71">
        <f t="shared" si="10"/>
        <v>-1814.062948767606</v>
      </c>
      <c r="AA34" s="71">
        <f t="shared" si="10"/>
        <v>-1706.3897552136268</v>
      </c>
    </row>
    <row r="35" spans="1:73">
      <c r="A35" s="27"/>
      <c r="B35" s="27"/>
      <c r="C35" s="27" t="s">
        <v>29</v>
      </c>
      <c r="D35" s="71">
        <f t="shared" si="2"/>
        <v>-26826.765956931711</v>
      </c>
      <c r="E35" s="71"/>
      <c r="F35" s="71">
        <f>F31*F26</f>
        <v>-926.30020785642216</v>
      </c>
      <c r="G35" s="71">
        <f t="shared" ref="G35:AA35" si="11">G31*G26</f>
        <v>-949.73871372730696</v>
      </c>
      <c r="H35" s="71">
        <f t="shared" si="11"/>
        <v>-973.77029250565772</v>
      </c>
      <c r="I35" s="71">
        <f t="shared" si="11"/>
        <v>-998.40995092763342</v>
      </c>
      <c r="J35" s="71">
        <f t="shared" si="11"/>
        <v>-1023.673075450212</v>
      </c>
      <c r="K35" s="71">
        <f t="shared" si="11"/>
        <v>-1049.5754418594029</v>
      </c>
      <c r="L35" s="71">
        <f t="shared" si="11"/>
        <v>-1076.1332251215774</v>
      </c>
      <c r="M35" s="71">
        <f t="shared" si="11"/>
        <v>-1103.3630094840744</v>
      </c>
      <c r="N35" s="71">
        <f t="shared" si="11"/>
        <v>-1131.2817988313809</v>
      </c>
      <c r="O35" s="71">
        <f t="shared" si="11"/>
        <v>-1159.9070273033631</v>
      </c>
      <c r="P35" s="71">
        <f t="shared" si="11"/>
        <v>-1189.2565701821704</v>
      </c>
      <c r="Q35" s="71">
        <f t="shared" si="11"/>
        <v>-1219.3487550546197</v>
      </c>
      <c r="R35" s="71">
        <f t="shared" si="11"/>
        <v>-1250.2023732570178</v>
      </c>
      <c r="S35" s="71">
        <f t="shared" si="11"/>
        <v>-1281.8366916095847</v>
      </c>
      <c r="T35" s="71">
        <f t="shared" si="11"/>
        <v>-1314.2714644477919</v>
      </c>
      <c r="U35" s="71">
        <f t="shared" si="11"/>
        <v>-1347.5269459581345</v>
      </c>
      <c r="V35" s="71">
        <f t="shared" si="11"/>
        <v>-1381.6239028260438</v>
      </c>
      <c r="W35" s="71">
        <f t="shared" si="11"/>
        <v>-1416.5836272038262</v>
      </c>
      <c r="X35" s="71">
        <f t="shared" si="11"/>
        <v>-1452.427950006745</v>
      </c>
      <c r="Y35" s="71">
        <f t="shared" si="11"/>
        <v>-1489.1792545455289</v>
      </c>
      <c r="Z35" s="71">
        <f t="shared" si="11"/>
        <v>-1526.8604905038349</v>
      </c>
      <c r="AA35" s="71">
        <f t="shared" si="11"/>
        <v>-1565.4951882693822</v>
      </c>
    </row>
    <row r="36" spans="1:73">
      <c r="A36" s="27"/>
      <c r="B36" s="27"/>
      <c r="C36" s="27" t="s">
        <v>30</v>
      </c>
      <c r="D36" s="71">
        <f t="shared" si="2"/>
        <v>-50045.902239591873</v>
      </c>
      <c r="E36" s="71"/>
      <c r="F36" s="71">
        <f>F32*F26</f>
        <v>-5241.5627574471828</v>
      </c>
      <c r="G36" s="71">
        <f t="shared" ref="G36:AA36" si="12">G32*G26</f>
        <v>-4852.0324887029483</v>
      </c>
      <c r="H36" s="71">
        <f t="shared" si="12"/>
        <v>-4483.6384201556675</v>
      </c>
      <c r="I36" s="71">
        <f t="shared" si="12"/>
        <v>-4135.0758102061509</v>
      </c>
      <c r="J36" s="71">
        <f t="shared" si="12"/>
        <v>-3805.1160893826204</v>
      </c>
      <c r="K36" s="71">
        <f t="shared" si="12"/>
        <v>-3492.6023070191909</v>
      </c>
      <c r="L36" s="71">
        <f t="shared" si="12"/>
        <v>-3196.4448473820389</v>
      </c>
      <c r="M36" s="71">
        <f t="shared" si="12"/>
        <v>-2915.6173992297017</v>
      </c>
      <c r="N36" s="71">
        <f t="shared" si="12"/>
        <v>-2649.1531637438957</v>
      </c>
      <c r="O36" s="71">
        <f t="shared" si="12"/>
        <v>-2396.1412866607761</v>
      </c>
      <c r="P36" s="71">
        <f t="shared" si="12"/>
        <v>-2155.7235012731385</v>
      </c>
      <c r="Q36" s="71">
        <f t="shared" si="12"/>
        <v>-1927.0909697645973</v>
      </c>
      <c r="R36" s="71">
        <f t="shared" si="12"/>
        <v>-1709.4813110805017</v>
      </c>
      <c r="S36" s="71">
        <f t="shared" si="12"/>
        <v>-1502.1758042398365</v>
      </c>
      <c r="T36" s="71">
        <f t="shared" si="12"/>
        <v>-1304.4967566503378</v>
      </c>
      <c r="U36" s="71">
        <f t="shared" si="12"/>
        <v>-1115.8050276079734</v>
      </c>
      <c r="V36" s="71">
        <f t="shared" si="12"/>
        <v>-935.49769774408969</v>
      </c>
      <c r="W36" s="71">
        <f t="shared" si="12"/>
        <v>-763.00587573111216</v>
      </c>
      <c r="X36" s="71">
        <f t="shared" si="12"/>
        <v>-597.79263407277563</v>
      </c>
      <c r="Y36" s="71">
        <f t="shared" si="12"/>
        <v>-439.351066289313</v>
      </c>
      <c r="Z36" s="71">
        <f t="shared" si="12"/>
        <v>-287.20245826377135</v>
      </c>
      <c r="AA36" s="71">
        <f t="shared" si="12"/>
        <v>-140.89456694424442</v>
      </c>
    </row>
    <row r="38" spans="1:73" ht="21">
      <c r="A38" s="29" t="s">
        <v>33</v>
      </c>
      <c r="B38" s="30"/>
      <c r="C38" s="30"/>
      <c r="D38" s="30"/>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row>
    <row r="39" spans="1:73">
      <c r="A39" s="36" t="s">
        <v>150</v>
      </c>
      <c r="B39" s="44"/>
      <c r="C39" s="37"/>
      <c r="D39" s="37"/>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row>
    <row r="40" spans="1:73">
      <c r="A40" s="140" t="s">
        <v>24</v>
      </c>
      <c r="B40" s="141"/>
      <c r="C40" s="142"/>
      <c r="D40" s="142"/>
      <c r="E40" s="141" t="s">
        <v>25</v>
      </c>
      <c r="F40" s="141" t="s">
        <v>25</v>
      </c>
      <c r="G40" s="141" t="s">
        <v>25</v>
      </c>
      <c r="H40" s="141" t="s">
        <v>25</v>
      </c>
      <c r="I40" s="141" t="s">
        <v>25</v>
      </c>
      <c r="J40" s="141" t="s">
        <v>25</v>
      </c>
      <c r="K40" s="141" t="s">
        <v>25</v>
      </c>
      <c r="L40" s="141" t="s">
        <v>25</v>
      </c>
      <c r="M40" s="141" t="s">
        <v>25</v>
      </c>
      <c r="N40" s="141" t="s">
        <v>25</v>
      </c>
      <c r="O40" s="141" t="s">
        <v>25</v>
      </c>
      <c r="P40" s="141" t="s">
        <v>25</v>
      </c>
      <c r="Q40" s="141" t="s">
        <v>25</v>
      </c>
      <c r="R40" s="141" t="s">
        <v>25</v>
      </c>
      <c r="S40" s="141" t="s">
        <v>25</v>
      </c>
      <c r="T40" s="141" t="s">
        <v>25</v>
      </c>
      <c r="U40" s="141" t="s">
        <v>25</v>
      </c>
      <c r="V40" s="141" t="s">
        <v>25</v>
      </c>
      <c r="W40" s="141" t="s">
        <v>25</v>
      </c>
      <c r="X40" s="141" t="s">
        <v>25</v>
      </c>
      <c r="Y40" s="141" t="s">
        <v>25</v>
      </c>
      <c r="Z40" s="141" t="s">
        <v>25</v>
      </c>
      <c r="AA40" s="141" t="s">
        <v>25</v>
      </c>
      <c r="AB40" s="141" t="s">
        <v>25</v>
      </c>
      <c r="AC40" s="141" t="s">
        <v>25</v>
      </c>
      <c r="AD40" t="s">
        <v>25</v>
      </c>
      <c r="AE40" t="s">
        <v>25</v>
      </c>
      <c r="AF40" t="s">
        <v>25</v>
      </c>
      <c r="AG40" t="s">
        <v>25</v>
      </c>
      <c r="AH40" t="s">
        <v>25</v>
      </c>
      <c r="AI40" t="s">
        <v>25</v>
      </c>
      <c r="AJ40" t="s">
        <v>25</v>
      </c>
      <c r="AK40" t="s">
        <v>25</v>
      </c>
      <c r="AL40" s="141">
        <v>1</v>
      </c>
      <c r="AM40" s="141">
        <v>2</v>
      </c>
      <c r="AN40" s="141">
        <v>3</v>
      </c>
      <c r="AO40" s="141">
        <v>4</v>
      </c>
      <c r="AP40" s="141">
        <v>5</v>
      </c>
      <c r="AQ40" s="141">
        <v>6</v>
      </c>
      <c r="AR40" s="141">
        <v>7</v>
      </c>
      <c r="AS40" s="141">
        <v>8</v>
      </c>
      <c r="AT40" s="141">
        <v>9</v>
      </c>
      <c r="AU40" s="141">
        <v>10</v>
      </c>
      <c r="AV40" s="141">
        <v>11</v>
      </c>
      <c r="AW40" s="141">
        <v>12</v>
      </c>
      <c r="AX40" s="141">
        <v>13</v>
      </c>
      <c r="AY40" s="141">
        <v>14</v>
      </c>
      <c r="AZ40" s="141">
        <v>15</v>
      </c>
      <c r="BA40" s="141">
        <v>16</v>
      </c>
      <c r="BB40" s="141">
        <v>17</v>
      </c>
      <c r="BC40" s="141">
        <v>18</v>
      </c>
      <c r="BD40" s="141">
        <v>19</v>
      </c>
      <c r="BE40" s="141">
        <v>20</v>
      </c>
      <c r="BF40" s="141">
        <v>21</v>
      </c>
      <c r="BG40" s="141">
        <v>22</v>
      </c>
      <c r="BH40" s="141">
        <v>23</v>
      </c>
      <c r="BI40" s="141">
        <v>24</v>
      </c>
      <c r="BJ40" s="141">
        <v>25</v>
      </c>
      <c r="BK40" s="141">
        <v>26</v>
      </c>
      <c r="BL40" s="141"/>
      <c r="BM40" s="141"/>
      <c r="BN40" s="141"/>
      <c r="BO40" s="141"/>
      <c r="BP40" s="141"/>
      <c r="BQ40" s="141"/>
      <c r="BR40" s="141"/>
      <c r="BS40" s="141"/>
      <c r="BT40" s="141"/>
      <c r="BU40" s="141"/>
    </row>
    <row r="41" spans="1:73">
      <c r="A41" s="41"/>
      <c r="B41" s="26" t="s">
        <v>28</v>
      </c>
      <c r="C41" s="27"/>
      <c r="D41" s="71">
        <f>SUM(F41:CQ41)</f>
        <v>-152471.657185594</v>
      </c>
      <c r="AL41" s="71">
        <f>PMT($D$15,$D$19,$D$20)</f>
        <v>-5864.2945071382346</v>
      </c>
      <c r="AM41" s="71">
        <f t="shared" ref="AM41:BK41" si="13">PMT($D$15,$D$19,$D$20)</f>
        <v>-5864.2945071382346</v>
      </c>
      <c r="AN41" s="71">
        <f t="shared" si="13"/>
        <v>-5864.2945071382346</v>
      </c>
      <c r="AO41" s="71">
        <f t="shared" si="13"/>
        <v>-5864.2945071382346</v>
      </c>
      <c r="AP41" s="71">
        <f t="shared" si="13"/>
        <v>-5864.2945071382346</v>
      </c>
      <c r="AQ41" s="71">
        <f t="shared" si="13"/>
        <v>-5864.2945071382346</v>
      </c>
      <c r="AR41" s="71">
        <f t="shared" si="13"/>
        <v>-5864.2945071382346</v>
      </c>
      <c r="AS41" s="71">
        <f t="shared" si="13"/>
        <v>-5864.2945071382346</v>
      </c>
      <c r="AT41" s="71">
        <f t="shared" si="13"/>
        <v>-5864.2945071382346</v>
      </c>
      <c r="AU41" s="71">
        <f t="shared" si="13"/>
        <v>-5864.2945071382346</v>
      </c>
      <c r="AV41" s="71">
        <f t="shared" si="13"/>
        <v>-5864.2945071382346</v>
      </c>
      <c r="AW41" s="71">
        <f t="shared" si="13"/>
        <v>-5864.2945071382346</v>
      </c>
      <c r="AX41" s="71">
        <f t="shared" si="13"/>
        <v>-5864.2945071382346</v>
      </c>
      <c r="AY41" s="71">
        <f t="shared" si="13"/>
        <v>-5864.2945071382346</v>
      </c>
      <c r="AZ41" s="71">
        <f t="shared" si="13"/>
        <v>-5864.2945071382346</v>
      </c>
      <c r="BA41" s="71">
        <f t="shared" si="13"/>
        <v>-5864.2945071382346</v>
      </c>
      <c r="BB41" s="71">
        <f t="shared" si="13"/>
        <v>-5864.2945071382346</v>
      </c>
      <c r="BC41" s="71">
        <f t="shared" si="13"/>
        <v>-5864.2945071382346</v>
      </c>
      <c r="BD41" s="71">
        <f t="shared" si="13"/>
        <v>-5864.2945071382346</v>
      </c>
      <c r="BE41" s="71">
        <f t="shared" si="13"/>
        <v>-5864.2945071382346</v>
      </c>
      <c r="BF41" s="71">
        <f t="shared" si="13"/>
        <v>-5864.2945071382346</v>
      </c>
      <c r="BG41" s="71">
        <f t="shared" si="13"/>
        <v>-5864.2945071382346</v>
      </c>
      <c r="BH41" s="71">
        <f t="shared" si="13"/>
        <v>-5864.2945071382346</v>
      </c>
      <c r="BI41" s="71">
        <f t="shared" si="13"/>
        <v>-5864.2945071382346</v>
      </c>
      <c r="BJ41" s="71">
        <f t="shared" si="13"/>
        <v>-5864.2945071382346</v>
      </c>
      <c r="BK41" s="71">
        <f t="shared" si="13"/>
        <v>-5864.2945071382346</v>
      </c>
      <c r="BL41" s="71"/>
      <c r="BM41" s="71"/>
      <c r="BN41" s="71"/>
      <c r="BO41" s="71"/>
      <c r="BP41" s="71"/>
      <c r="BQ41" s="71"/>
      <c r="BR41" s="71"/>
      <c r="BS41" s="71"/>
      <c r="BT41" s="71"/>
      <c r="BU41" s="71"/>
    </row>
    <row r="42" spans="1:73">
      <c r="A42" s="41"/>
      <c r="B42" s="27"/>
      <c r="C42" s="27" t="s">
        <v>29</v>
      </c>
      <c r="D42" s="71">
        <f t="shared" ref="D42:D47" si="14">SUM(F42:CQ42)</f>
        <v>-99050.000000000044</v>
      </c>
      <c r="AL42" s="71">
        <f t="shared" ref="AL42:BK42" si="15">PPMT($D$15,AL$40,$D$19,$D$20)</f>
        <v>-2397.5445071382337</v>
      </c>
      <c r="AM42" s="71">
        <f t="shared" si="15"/>
        <v>-2481.458564888072</v>
      </c>
      <c r="AN42" s="71">
        <f t="shared" si="15"/>
        <v>-2568.3096146591547</v>
      </c>
      <c r="AO42" s="71">
        <f t="shared" si="15"/>
        <v>-2658.2004511722248</v>
      </c>
      <c r="AP42" s="71">
        <f t="shared" si="15"/>
        <v>-2751.2374669632532</v>
      </c>
      <c r="AQ42" s="71">
        <f t="shared" si="15"/>
        <v>-2847.5307783069666</v>
      </c>
      <c r="AR42" s="71">
        <f t="shared" si="15"/>
        <v>-2947.1943555477101</v>
      </c>
      <c r="AS42" s="71">
        <f t="shared" si="15"/>
        <v>-3050.3461579918799</v>
      </c>
      <c r="AT42" s="71">
        <f t="shared" si="15"/>
        <v>-3157.1082735215969</v>
      </c>
      <c r="AU42" s="71">
        <f t="shared" si="15"/>
        <v>-3267.6070630948516</v>
      </c>
      <c r="AV42" s="71">
        <f t="shared" si="15"/>
        <v>-3381.9733103031722</v>
      </c>
      <c r="AW42" s="71">
        <f t="shared" si="15"/>
        <v>-3500.3423761637828</v>
      </c>
      <c r="AX42" s="71">
        <f t="shared" si="15"/>
        <v>-3622.8543593295153</v>
      </c>
      <c r="AY42" s="71">
        <f t="shared" si="15"/>
        <v>-3749.6542619060483</v>
      </c>
      <c r="AZ42" s="71">
        <f t="shared" si="15"/>
        <v>-3880.8921610727593</v>
      </c>
      <c r="BA42" s="71">
        <f t="shared" si="15"/>
        <v>-4016.7233867103064</v>
      </c>
      <c r="BB42" s="71">
        <f t="shared" si="15"/>
        <v>-4157.3087052451674</v>
      </c>
      <c r="BC42" s="71">
        <f t="shared" si="15"/>
        <v>-4302.8145099287476</v>
      </c>
      <c r="BD42" s="71">
        <f t="shared" si="15"/>
        <v>-4453.4130177762545</v>
      </c>
      <c r="BE42" s="71">
        <f t="shared" si="15"/>
        <v>-4609.2824733984226</v>
      </c>
      <c r="BF42" s="71">
        <f t="shared" si="15"/>
        <v>-4770.6073599673673</v>
      </c>
      <c r="BG42" s="71">
        <f t="shared" si="15"/>
        <v>-4937.5786175662261</v>
      </c>
      <c r="BH42" s="71">
        <f t="shared" si="15"/>
        <v>-5110.3938691810436</v>
      </c>
      <c r="BI42" s="71">
        <f t="shared" si="15"/>
        <v>-5289.2576546023793</v>
      </c>
      <c r="BJ42" s="71">
        <f t="shared" si="15"/>
        <v>-5474.3816725134629</v>
      </c>
      <c r="BK42" s="71">
        <f t="shared" si="15"/>
        <v>-5665.9850310514339</v>
      </c>
      <c r="BL42" s="71"/>
      <c r="BM42" s="71"/>
      <c r="BN42" s="71"/>
      <c r="BO42" s="71"/>
      <c r="BP42" s="71"/>
      <c r="BQ42" s="71"/>
      <c r="BR42" s="71"/>
      <c r="BS42" s="71"/>
      <c r="BT42" s="71"/>
      <c r="BU42" s="71"/>
    </row>
    <row r="43" spans="1:73">
      <c r="A43" s="41"/>
      <c r="B43" s="27"/>
      <c r="C43" s="27" t="s">
        <v>30</v>
      </c>
      <c r="D43" s="71">
        <f t="shared" si="14"/>
        <v>-53421.657185594057</v>
      </c>
      <c r="AL43" s="71">
        <f t="shared" ref="AL43:BK43" si="16">IPMT($D$15,AL$40,$D$19,$D$20)</f>
        <v>-3466.7500000000005</v>
      </c>
      <c r="AM43" s="71">
        <f t="shared" si="16"/>
        <v>-3382.835942250163</v>
      </c>
      <c r="AN43" s="71">
        <f t="shared" si="16"/>
        <v>-3295.9848924790804</v>
      </c>
      <c r="AO43" s="71">
        <f t="shared" si="16"/>
        <v>-3206.0940559660094</v>
      </c>
      <c r="AP43" s="71">
        <f t="shared" si="16"/>
        <v>-3113.0570401749828</v>
      </c>
      <c r="AQ43" s="71">
        <f t="shared" si="16"/>
        <v>-3016.7637288312681</v>
      </c>
      <c r="AR43" s="71">
        <f t="shared" si="16"/>
        <v>-2917.1001515905241</v>
      </c>
      <c r="AS43" s="71">
        <f t="shared" si="16"/>
        <v>-2813.9483491463543</v>
      </c>
      <c r="AT43" s="71">
        <f t="shared" si="16"/>
        <v>-2707.1862336166387</v>
      </c>
      <c r="AU43" s="71">
        <f t="shared" si="16"/>
        <v>-2596.6874440433826</v>
      </c>
      <c r="AV43" s="71">
        <f t="shared" si="16"/>
        <v>-2482.3211968350638</v>
      </c>
      <c r="AW43" s="71">
        <f t="shared" si="16"/>
        <v>-2363.9521309744518</v>
      </c>
      <c r="AX43" s="71">
        <f t="shared" si="16"/>
        <v>-2241.4401478087198</v>
      </c>
      <c r="AY43" s="71">
        <f t="shared" si="16"/>
        <v>-2114.6402452321868</v>
      </c>
      <c r="AZ43" s="71">
        <f t="shared" si="16"/>
        <v>-1983.4023460654746</v>
      </c>
      <c r="BA43" s="71">
        <f t="shared" si="16"/>
        <v>-1847.5711204279285</v>
      </c>
      <c r="BB43" s="71">
        <f t="shared" si="16"/>
        <v>-1706.9858018930674</v>
      </c>
      <c r="BC43" s="71">
        <f t="shared" si="16"/>
        <v>-1561.4799972094866</v>
      </c>
      <c r="BD43" s="71">
        <f t="shared" si="16"/>
        <v>-1410.8814893619806</v>
      </c>
      <c r="BE43" s="71">
        <f t="shared" si="16"/>
        <v>-1255.0120337398116</v>
      </c>
      <c r="BF43" s="71">
        <f t="shared" si="16"/>
        <v>-1093.6871471708669</v>
      </c>
      <c r="BG43" s="71">
        <f t="shared" si="16"/>
        <v>-926.71588957200925</v>
      </c>
      <c r="BH43" s="71">
        <f t="shared" si="16"/>
        <v>-753.90063795719118</v>
      </c>
      <c r="BI43" s="71">
        <f t="shared" si="16"/>
        <v>-575.03685253585468</v>
      </c>
      <c r="BJ43" s="71">
        <f t="shared" si="16"/>
        <v>-389.91283462477134</v>
      </c>
      <c r="BK43" s="71">
        <f t="shared" si="16"/>
        <v>-198.3094760868002</v>
      </c>
      <c r="BL43" s="71"/>
      <c r="BM43" s="71"/>
      <c r="BN43" s="71"/>
      <c r="BO43" s="71"/>
      <c r="BP43" s="71"/>
      <c r="BQ43" s="71"/>
      <c r="BR43" s="71"/>
      <c r="BS43" s="71"/>
      <c r="BT43" s="71"/>
      <c r="BU43" s="71"/>
    </row>
    <row r="44" spans="1:73">
      <c r="A44" s="41"/>
      <c r="B44" s="33" t="s">
        <v>31</v>
      </c>
      <c r="C44" s="42"/>
      <c r="D44" s="71"/>
      <c r="AK44" s="130">
        <f>D20</f>
        <v>99050</v>
      </c>
      <c r="AL44" s="71">
        <f>AK44+AL42</f>
        <v>96652.455492861773</v>
      </c>
      <c r="AM44" s="71">
        <f t="shared" ref="AM44:BK44" si="17">AL44+AM42</f>
        <v>94170.996927973698</v>
      </c>
      <c r="AN44" s="71">
        <f t="shared" si="17"/>
        <v>91602.687313314542</v>
      </c>
      <c r="AO44" s="71">
        <f t="shared" si="17"/>
        <v>88944.486862142323</v>
      </c>
      <c r="AP44" s="71">
        <f t="shared" si="17"/>
        <v>86193.249395179068</v>
      </c>
      <c r="AQ44" s="71">
        <f t="shared" si="17"/>
        <v>83345.718616872095</v>
      </c>
      <c r="AR44" s="71">
        <f t="shared" si="17"/>
        <v>80398.52426132439</v>
      </c>
      <c r="AS44" s="71">
        <f t="shared" si="17"/>
        <v>77348.17810333251</v>
      </c>
      <c r="AT44" s="71">
        <f t="shared" si="17"/>
        <v>74191.069829810906</v>
      </c>
      <c r="AU44" s="71">
        <f t="shared" si="17"/>
        <v>70923.462766716053</v>
      </c>
      <c r="AV44" s="71">
        <f t="shared" si="17"/>
        <v>67541.489456412877</v>
      </c>
      <c r="AW44" s="71">
        <f t="shared" si="17"/>
        <v>64041.147080249095</v>
      </c>
      <c r="AX44" s="71">
        <f t="shared" si="17"/>
        <v>60418.292720919577</v>
      </c>
      <c r="AY44" s="71">
        <f t="shared" si="17"/>
        <v>56668.638459013528</v>
      </c>
      <c r="AZ44" s="71">
        <f t="shared" si="17"/>
        <v>52787.746297940772</v>
      </c>
      <c r="BA44" s="71">
        <f t="shared" si="17"/>
        <v>48771.022911230466</v>
      </c>
      <c r="BB44" s="71">
        <f t="shared" si="17"/>
        <v>44613.714205985299</v>
      </c>
      <c r="BC44" s="71">
        <f t="shared" si="17"/>
        <v>40310.899696056549</v>
      </c>
      <c r="BD44" s="71">
        <f t="shared" si="17"/>
        <v>35857.486678280293</v>
      </c>
      <c r="BE44" s="71">
        <f t="shared" si="17"/>
        <v>31248.204204881869</v>
      </c>
      <c r="BF44" s="71">
        <f t="shared" si="17"/>
        <v>26477.5968449145</v>
      </c>
      <c r="BG44" s="71">
        <f t="shared" si="17"/>
        <v>21540.018227348275</v>
      </c>
      <c r="BH44" s="71">
        <f t="shared" si="17"/>
        <v>16429.624358167232</v>
      </c>
      <c r="BI44" s="71">
        <f t="shared" si="17"/>
        <v>11140.366703564852</v>
      </c>
      <c r="BJ44" s="71">
        <f t="shared" si="17"/>
        <v>5665.9850310513893</v>
      </c>
      <c r="BK44" s="71">
        <f t="shared" si="17"/>
        <v>-4.4565240386873484E-11</v>
      </c>
      <c r="BL44" s="71"/>
      <c r="BM44" s="71"/>
      <c r="BN44" s="71"/>
      <c r="BO44" s="71"/>
      <c r="BP44" s="71"/>
      <c r="BQ44" s="71"/>
      <c r="BR44" s="71"/>
      <c r="BS44" s="71"/>
      <c r="BT44" s="71"/>
      <c r="BU44" s="71"/>
    </row>
    <row r="45" spans="1:73" ht="21">
      <c r="A45" s="43"/>
      <c r="B45" s="26" t="s">
        <v>32</v>
      </c>
      <c r="C45" s="27"/>
      <c r="D45" s="71">
        <f t="shared" si="14"/>
        <v>-3923.5980041953826</v>
      </c>
      <c r="AL45" s="71">
        <f>AL41*AL26</f>
        <v>-292.47179009629173</v>
      </c>
      <c r="AM45" s="71">
        <f t="shared" ref="AM45:BK45" si="18">AM41*AM26</f>
        <v>-275.11220966634534</v>
      </c>
      <c r="AN45" s="71">
        <f t="shared" si="18"/>
        <v>-258.78300222589155</v>
      </c>
      <c r="AO45" s="71">
        <f t="shared" si="18"/>
        <v>-243.42301027738844</v>
      </c>
      <c r="AP45" s="71">
        <f t="shared" si="18"/>
        <v>-228.97470630927322</v>
      </c>
      <c r="AQ45" s="71">
        <f t="shared" si="18"/>
        <v>-215.38397733917157</v>
      </c>
      <c r="AR45" s="71">
        <f t="shared" si="18"/>
        <v>-202.59992224548165</v>
      </c>
      <c r="AS45" s="71">
        <f t="shared" si="18"/>
        <v>-190.57466112828675</v>
      </c>
      <c r="AT45" s="71">
        <f t="shared" si="18"/>
        <v>-179.26315598559569</v>
      </c>
      <c r="AU45" s="71">
        <f t="shared" si="18"/>
        <v>-168.62304203329478</v>
      </c>
      <c r="AV45" s="71">
        <f t="shared" si="18"/>
        <v>-158.61446903705649</v>
      </c>
      <c r="AW45" s="71">
        <f t="shared" si="18"/>
        <v>-149.19995206194761</v>
      </c>
      <c r="AX45" s="71">
        <f t="shared" si="18"/>
        <v>-140.34423108075214</v>
      </c>
      <c r="AY45" s="71">
        <f t="shared" si="18"/>
        <v>-132.01413891520286</v>
      </c>
      <c r="AZ45" s="71">
        <f t="shared" si="18"/>
        <v>-124.17847701552336</v>
      </c>
      <c r="BA45" s="71">
        <f t="shared" si="18"/>
        <v>-116.80789861304051</v>
      </c>
      <c r="BB45" s="71">
        <f t="shared" si="18"/>
        <v>-109.87479880824054</v>
      </c>
      <c r="BC45" s="71">
        <f t="shared" si="18"/>
        <v>-103.35321118261737</v>
      </c>
      <c r="BD45" s="71">
        <f t="shared" si="18"/>
        <v>-97.218710547095654</v>
      </c>
      <c r="BE45" s="71">
        <f t="shared" si="18"/>
        <v>-91.448321462793402</v>
      </c>
      <c r="BF45" s="71">
        <f t="shared" si="18"/>
        <v>-86.020432191509158</v>
      </c>
      <c r="BG45" s="71">
        <f t="shared" si="18"/>
        <v>-80.914713753653629</v>
      </c>
      <c r="BH45" s="71">
        <f t="shared" si="18"/>
        <v>-76.112043790474672</v>
      </c>
      <c r="BI45" s="71">
        <f t="shared" si="18"/>
        <v>-71.594434945418755</v>
      </c>
      <c r="BJ45" s="71">
        <f t="shared" si="18"/>
        <v>-67.344967496396166</v>
      </c>
      <c r="BK45" s="71">
        <f t="shared" si="18"/>
        <v>-63.347725986639219</v>
      </c>
      <c r="BL45" s="71"/>
      <c r="BM45" s="71"/>
      <c r="BN45" s="71"/>
      <c r="BO45" s="71"/>
      <c r="BP45" s="71"/>
      <c r="BQ45" s="71"/>
      <c r="BR45" s="71"/>
      <c r="BS45" s="71"/>
      <c r="BT45" s="71"/>
      <c r="BU45" s="71"/>
    </row>
    <row r="46" spans="1:73">
      <c r="A46" s="27"/>
      <c r="B46" s="27"/>
      <c r="C46" s="27" t="s">
        <v>29</v>
      </c>
      <c r="D46" s="71">
        <f t="shared" si="14"/>
        <v>-2269.425138069239</v>
      </c>
      <c r="AL46" s="71">
        <f>AL42*AL26</f>
        <v>-119.57348543541036</v>
      </c>
      <c r="AM46" s="71">
        <f t="shared" ref="AM46:BK46" si="19">AM42*AM26</f>
        <v>-116.41290323172771</v>
      </c>
      <c r="AN46" s="71">
        <f t="shared" si="19"/>
        <v>-113.33586195544933</v>
      </c>
      <c r="AO46" s="71">
        <f t="shared" si="19"/>
        <v>-110.34015344171769</v>
      </c>
      <c r="AP46" s="71">
        <f t="shared" si="19"/>
        <v>-107.42362789218116</v>
      </c>
      <c r="AQ46" s="71">
        <f t="shared" si="19"/>
        <v>-104.58419233224299</v>
      </c>
      <c r="AR46" s="71">
        <f t="shared" si="19"/>
        <v>-101.81980910908801</v>
      </c>
      <c r="AS46" s="71">
        <f t="shared" si="19"/>
        <v>-99.12849442941031</v>
      </c>
      <c r="AT46" s="71">
        <f t="shared" si="19"/>
        <v>-96.508316935791285</v>
      </c>
      <c r="AU46" s="71">
        <f t="shared" si="19"/>
        <v>-93.957396320707318</v>
      </c>
      <c r="AV46" s="71">
        <f t="shared" si="19"/>
        <v>-91.473901977172503</v>
      </c>
      <c r="AW46" s="71">
        <f t="shared" si="19"/>
        <v>-89.056051685047066</v>
      </c>
      <c r="AX46" s="71">
        <f t="shared" si="19"/>
        <v>-86.702110332070077</v>
      </c>
      <c r="AY46" s="71">
        <f t="shared" si="19"/>
        <v>-84.410388668697721</v>
      </c>
      <c r="AZ46" s="71">
        <f t="shared" si="19"/>
        <v>-82.179242095853766</v>
      </c>
      <c r="BA46" s="71">
        <f t="shared" si="19"/>
        <v>-80.007069484722663</v>
      </c>
      <c r="BB46" s="71">
        <f t="shared" si="19"/>
        <v>-77.892312027737717</v>
      </c>
      <c r="BC46" s="71">
        <f t="shared" si="19"/>
        <v>-75.83345211994029</v>
      </c>
      <c r="BD46" s="71">
        <f t="shared" si="19"/>
        <v>-73.829012269907082</v>
      </c>
      <c r="BE46" s="71">
        <f t="shared" si="19"/>
        <v>-71.877554039463675</v>
      </c>
      <c r="BF46" s="71">
        <f t="shared" si="19"/>
        <v>-69.977677011424035</v>
      </c>
      <c r="BG46" s="71">
        <f t="shared" si="19"/>
        <v>-68.128017784614698</v>
      </c>
      <c r="BH46" s="71">
        <f t="shared" si="19"/>
        <v>-66.327248995462526</v>
      </c>
      <c r="BI46" s="71">
        <f t="shared" si="19"/>
        <v>-64.57407836544418</v>
      </c>
      <c r="BJ46" s="71">
        <f t="shared" si="19"/>
        <v>-62.867247773713423</v>
      </c>
      <c r="BK46" s="71">
        <f t="shared" si="19"/>
        <v>-61.205532354240788</v>
      </c>
      <c r="BL46" s="71"/>
      <c r="BM46" s="71"/>
      <c r="BN46" s="71"/>
      <c r="BO46" s="71"/>
      <c r="BP46" s="71"/>
      <c r="BQ46" s="71"/>
      <c r="BR46" s="71"/>
      <c r="BS46" s="71"/>
      <c r="BT46" s="71"/>
      <c r="BU46" s="71"/>
    </row>
    <row r="47" spans="1:73">
      <c r="A47" s="27"/>
      <c r="B47" s="27"/>
      <c r="C47" s="27" t="s">
        <v>30</v>
      </c>
      <c r="D47" s="71">
        <f t="shared" si="14"/>
        <v>-1654.1728661261438</v>
      </c>
      <c r="AL47" s="71">
        <f>AL43*AL26</f>
        <v>-172.89830466088134</v>
      </c>
      <c r="AM47" s="71">
        <f t="shared" ref="AM47:BK47" si="20">AM43*AM26</f>
        <v>-158.69930643461765</v>
      </c>
      <c r="AN47" s="71">
        <f t="shared" si="20"/>
        <v>-145.44714027044225</v>
      </c>
      <c r="AO47" s="71">
        <f t="shared" si="20"/>
        <v>-133.08285683567073</v>
      </c>
      <c r="AP47" s="71">
        <f t="shared" si="20"/>
        <v>-121.5510784170921</v>
      </c>
      <c r="AQ47" s="71">
        <f t="shared" si="20"/>
        <v>-110.79978500692857</v>
      </c>
      <c r="AR47" s="71">
        <f t="shared" si="20"/>
        <v>-100.78011313639361</v>
      </c>
      <c r="AS47" s="71">
        <f t="shared" si="20"/>
        <v>-91.446166698876439</v>
      </c>
      <c r="AT47" s="71">
        <f t="shared" si="20"/>
        <v>-82.754839049804417</v>
      </c>
      <c r="AU47" s="71">
        <f t="shared" si="20"/>
        <v>-74.665645712587462</v>
      </c>
      <c r="AV47" s="71">
        <f t="shared" si="20"/>
        <v>-67.140567059884035</v>
      </c>
      <c r="AW47" s="71">
        <f t="shared" si="20"/>
        <v>-60.143900376900561</v>
      </c>
      <c r="AX47" s="71">
        <f t="shared" si="20"/>
        <v>-53.642120748682075</v>
      </c>
      <c r="AY47" s="71">
        <f t="shared" si="20"/>
        <v>-47.603750246505157</v>
      </c>
      <c r="AZ47" s="71">
        <f t="shared" si="20"/>
        <v>-41.999234919669576</v>
      </c>
      <c r="BA47" s="71">
        <f t="shared" si="20"/>
        <v>-36.800829128317851</v>
      </c>
      <c r="BB47" s="71">
        <f t="shared" si="20"/>
        <v>-31.982486780502828</v>
      </c>
      <c r="BC47" s="71">
        <f t="shared" si="20"/>
        <v>-27.519759062677078</v>
      </c>
      <c r="BD47" s="71">
        <f t="shared" si="20"/>
        <v>-23.389698277188579</v>
      </c>
      <c r="BE47" s="71">
        <f t="shared" si="20"/>
        <v>-19.570767423329727</v>
      </c>
      <c r="BF47" s="71">
        <f t="shared" si="20"/>
        <v>-16.042755180085123</v>
      </c>
      <c r="BG47" s="71">
        <f t="shared" si="20"/>
        <v>-12.786695969038931</v>
      </c>
      <c r="BH47" s="71">
        <f t="shared" si="20"/>
        <v>-9.7847947950121483</v>
      </c>
      <c r="BI47" s="71">
        <f t="shared" si="20"/>
        <v>-7.0203565799745649</v>
      </c>
      <c r="BJ47" s="71">
        <f t="shared" si="20"/>
        <v>-4.4777197226827381</v>
      </c>
      <c r="BK47" s="71">
        <f t="shared" si="20"/>
        <v>-2.1421936323984276</v>
      </c>
      <c r="BL47" s="71"/>
      <c r="BM47" s="71"/>
      <c r="BN47" s="71"/>
      <c r="BO47" s="71"/>
      <c r="BP47" s="71"/>
      <c r="BQ47" s="71"/>
      <c r="BR47" s="71"/>
      <c r="BS47" s="71"/>
      <c r="BT47" s="71"/>
      <c r="BU47" s="71"/>
    </row>
    <row r="51" spans="1:11" s="157" customFormat="1" ht="21">
      <c r="A51" s="158" t="s">
        <v>166</v>
      </c>
    </row>
    <row r="53" spans="1:11" ht="21">
      <c r="A53" s="347" t="s">
        <v>1</v>
      </c>
      <c r="B53" s="348"/>
      <c r="C53" s="348"/>
      <c r="D53" s="349"/>
      <c r="F53" s="321" t="s">
        <v>2</v>
      </c>
      <c r="G53" s="322"/>
    </row>
    <row r="54" spans="1:11">
      <c r="A54" s="55" t="s">
        <v>3</v>
      </c>
      <c r="B54" s="22"/>
      <c r="C54" s="22"/>
      <c r="D54" s="131">
        <f>Data!D36</f>
        <v>1993</v>
      </c>
      <c r="F54" s="6" t="s">
        <v>4</v>
      </c>
      <c r="G54" s="7">
        <f>D60</f>
        <v>2806716</v>
      </c>
    </row>
    <row r="55" spans="1:11">
      <c r="A55" s="4" t="s">
        <v>5</v>
      </c>
      <c r="B55" s="126"/>
      <c r="C55" s="126"/>
      <c r="D55" s="8">
        <f>Data!F36</f>
        <v>0.09</v>
      </c>
      <c r="F55" s="6" t="s">
        <v>6</v>
      </c>
      <c r="G55" s="9">
        <f>D80*-1</f>
        <v>5770106.3451796882</v>
      </c>
    </row>
    <row r="56" spans="1:11">
      <c r="A56" s="4" t="s">
        <v>7</v>
      </c>
      <c r="B56" s="126"/>
      <c r="C56" s="126"/>
      <c r="D56" s="10">
        <f>Data!G36</f>
        <v>5</v>
      </c>
      <c r="F56" s="11" t="s">
        <v>8</v>
      </c>
      <c r="G56" s="12">
        <f>D84*-1</f>
        <v>1839308.9354256969</v>
      </c>
    </row>
    <row r="57" spans="1:11">
      <c r="A57" s="4" t="s">
        <v>9</v>
      </c>
      <c r="B57" s="126"/>
      <c r="C57" s="126"/>
      <c r="D57" s="10">
        <f>Data!E36</f>
        <v>14</v>
      </c>
    </row>
    <row r="58" spans="1:11">
      <c r="A58" s="4" t="s">
        <v>10</v>
      </c>
      <c r="B58" s="126"/>
      <c r="C58" s="126"/>
      <c r="D58" s="10">
        <v>2</v>
      </c>
      <c r="F58" s="321" t="s">
        <v>11</v>
      </c>
      <c r="G58" s="322"/>
      <c r="I58" s="120" t="s">
        <v>111</v>
      </c>
    </row>
    <row r="59" spans="1:11">
      <c r="A59" s="4" t="s">
        <v>12</v>
      </c>
      <c r="B59" s="126"/>
      <c r="C59" s="126"/>
      <c r="D59" s="10">
        <f>(D57-D56)*2</f>
        <v>18</v>
      </c>
      <c r="F59" s="6" t="s">
        <v>4</v>
      </c>
      <c r="G59" s="7">
        <f>D60</f>
        <v>2806716</v>
      </c>
      <c r="I59" s="58" t="s">
        <v>110</v>
      </c>
    </row>
    <row r="60" spans="1:11">
      <c r="A60" s="4" t="s">
        <v>164</v>
      </c>
      <c r="B60" s="126"/>
      <c r="C60" s="126"/>
      <c r="D60" s="147">
        <f>Data!B36</f>
        <v>2806716</v>
      </c>
      <c r="F60" s="6" t="s">
        <v>14</v>
      </c>
      <c r="G60" s="9">
        <f>D70</f>
        <v>1698663</v>
      </c>
      <c r="I60" s="179" t="s">
        <v>175</v>
      </c>
      <c r="J60" s="180" t="s">
        <v>91</v>
      </c>
      <c r="K60" s="181" t="s">
        <v>176</v>
      </c>
    </row>
    <row r="61" spans="1:11">
      <c r="A61" s="13" t="s">
        <v>15</v>
      </c>
      <c r="B61" s="14"/>
      <c r="C61" s="14"/>
      <c r="D61" s="195">
        <v>8.3000000000000004E-2</v>
      </c>
      <c r="F61" s="6" t="s">
        <v>6</v>
      </c>
      <c r="G61" s="9">
        <f>D91*-1</f>
        <v>2614820.420089378</v>
      </c>
      <c r="I61" s="182" t="s">
        <v>177</v>
      </c>
      <c r="J61" s="183">
        <v>1.8222255689363569</v>
      </c>
      <c r="K61" s="184">
        <v>0.70864327680858341</v>
      </c>
    </row>
    <row r="62" spans="1:11">
      <c r="F62" s="11" t="s">
        <v>8</v>
      </c>
      <c r="G62" s="12">
        <f>D95*-1</f>
        <v>97136.390430090702</v>
      </c>
      <c r="I62" s="185" t="s">
        <v>178</v>
      </c>
      <c r="J62" s="186">
        <v>0.78352616646845819</v>
      </c>
      <c r="K62" s="187">
        <v>0.78352616646845819</v>
      </c>
    </row>
    <row r="63" spans="1:11" ht="20.399999999999999">
      <c r="A63" s="354" t="s">
        <v>16</v>
      </c>
      <c r="B63" s="355"/>
      <c r="C63" s="355"/>
      <c r="D63" s="356"/>
      <c r="F63" s="16"/>
      <c r="I63" s="182" t="s">
        <v>179</v>
      </c>
      <c r="J63" s="183">
        <v>0.50506795299551732</v>
      </c>
      <c r="K63" s="184">
        <v>0.41552065486748163</v>
      </c>
    </row>
    <row r="64" spans="1:11">
      <c r="A64" s="132" t="s">
        <v>17</v>
      </c>
      <c r="B64" s="133"/>
      <c r="C64" s="133"/>
      <c r="D64" s="134">
        <f>Data!H36</f>
        <v>2009</v>
      </c>
      <c r="F64" s="323" t="s">
        <v>109</v>
      </c>
      <c r="G64" s="324"/>
      <c r="I64" s="185" t="s">
        <v>180</v>
      </c>
      <c r="J64" s="186">
        <v>2.4695076595959931E-2</v>
      </c>
      <c r="K64" s="187">
        <v>2.4695076595959931E-2</v>
      </c>
    </row>
    <row r="65" spans="1:68">
      <c r="A65" s="135" t="s">
        <v>5</v>
      </c>
      <c r="B65" s="136"/>
      <c r="C65" s="136"/>
      <c r="D65" s="145">
        <f>Data!N36</f>
        <v>3.5000000000000003E-2</v>
      </c>
      <c r="F65" s="121" t="s">
        <v>44</v>
      </c>
      <c r="G65" s="118" t="s">
        <v>45</v>
      </c>
      <c r="I65" s="182" t="s">
        <v>181</v>
      </c>
      <c r="J65" s="183">
        <v>0.44451137872727875</v>
      </c>
      <c r="K65" s="184">
        <v>0.64207199149495819</v>
      </c>
    </row>
    <row r="66" spans="1:68">
      <c r="A66" s="135" t="s">
        <v>7</v>
      </c>
      <c r="B66" s="136"/>
      <c r="C66" s="136"/>
      <c r="D66" s="137">
        <f>Data!O36</f>
        <v>21</v>
      </c>
      <c r="F66" s="119">
        <f>(1-((D55/D58)/D71))*(1-(((1/((1+D71)^(D58*D56)))-(1/((1+D71)^(D58*D57))))/(D71*(D58*D57-D58*D56))))</f>
        <v>-0.30715334816816492</v>
      </c>
      <c r="G66" s="122">
        <f>(1-((D65/D68)/D71))*(1-(((1/((1+D71)^(D68*D66)))-(1/((1+D71)^(D68*D67))))/(D71*(D68*D67-D68*D66))))+((D60-D70)/D60)</f>
        <v>0.60964205937876104</v>
      </c>
      <c r="I66" s="185" t="s">
        <v>182</v>
      </c>
      <c r="J66" s="188">
        <v>-0.30715334816816492</v>
      </c>
      <c r="K66" s="189">
        <v>0.12436473257865784</v>
      </c>
    </row>
    <row r="67" spans="1:68">
      <c r="A67" s="135" t="s">
        <v>9</v>
      </c>
      <c r="B67" s="136"/>
      <c r="C67" s="136"/>
      <c r="D67" s="137">
        <f>Data!M36</f>
        <v>34</v>
      </c>
    </row>
    <row r="68" spans="1:68">
      <c r="A68" s="135" t="s">
        <v>10</v>
      </c>
      <c r="B68" s="136"/>
      <c r="C68" s="136"/>
      <c r="D68" s="137">
        <v>2</v>
      </c>
    </row>
    <row r="69" spans="1:68">
      <c r="A69" s="135" t="s">
        <v>12</v>
      </c>
      <c r="B69" s="136"/>
      <c r="C69" s="136"/>
      <c r="D69" s="137">
        <f>(D67-D66)*D68</f>
        <v>26</v>
      </c>
    </row>
    <row r="70" spans="1:68">
      <c r="A70" s="135" t="s">
        <v>165</v>
      </c>
      <c r="B70" s="136"/>
      <c r="C70" s="136"/>
      <c r="D70" s="154">
        <f>Data!L36</f>
        <v>1698663</v>
      </c>
    </row>
    <row r="71" spans="1:68">
      <c r="A71" s="196" t="s">
        <v>187</v>
      </c>
      <c r="B71" s="14"/>
      <c r="C71" s="14"/>
      <c r="D71" s="195">
        <f>(1.05^0.5)-1</f>
        <v>2.4695076595959931E-2</v>
      </c>
    </row>
    <row r="73" spans="1:68" ht="46.8">
      <c r="A73" s="302" t="s">
        <v>43</v>
      </c>
      <c r="E73" s="53" t="s">
        <v>25</v>
      </c>
      <c r="W73" s="21" t="s">
        <v>21</v>
      </c>
      <c r="AB73" s="21" t="s">
        <v>89</v>
      </c>
      <c r="AL73" s="21" t="s">
        <v>40</v>
      </c>
      <c r="BK73" s="21" t="s">
        <v>149</v>
      </c>
    </row>
    <row r="74" spans="1:68">
      <c r="A74" s="2" t="s">
        <v>23</v>
      </c>
      <c r="E74" s="139" t="s">
        <v>215</v>
      </c>
      <c r="F74" s="24">
        <v>35976</v>
      </c>
      <c r="G74" s="24">
        <v>36160</v>
      </c>
      <c r="H74" s="24">
        <v>36341</v>
      </c>
      <c r="I74" s="24">
        <v>36525</v>
      </c>
      <c r="J74" s="24">
        <v>36707</v>
      </c>
      <c r="K74" s="24">
        <v>36891</v>
      </c>
      <c r="L74" s="24">
        <v>37072</v>
      </c>
      <c r="M74" s="24">
        <v>37256</v>
      </c>
      <c r="N74" s="24">
        <v>37437</v>
      </c>
      <c r="O74" s="24">
        <v>37621</v>
      </c>
      <c r="P74" s="24">
        <v>37802</v>
      </c>
      <c r="Q74" s="24">
        <v>37986</v>
      </c>
      <c r="R74" s="24">
        <v>38168</v>
      </c>
      <c r="S74" s="24">
        <v>38352</v>
      </c>
      <c r="T74" s="24">
        <v>38533</v>
      </c>
      <c r="U74" s="24">
        <v>38717</v>
      </c>
      <c r="V74" s="24">
        <v>38898</v>
      </c>
      <c r="W74" s="24">
        <v>39082</v>
      </c>
      <c r="X74" s="24">
        <v>39263</v>
      </c>
      <c r="Y74" s="24">
        <v>39447</v>
      </c>
      <c r="Z74" s="24">
        <v>39629</v>
      </c>
      <c r="AA74" s="24">
        <v>39813</v>
      </c>
      <c r="AB74" s="24">
        <v>39994</v>
      </c>
      <c r="AC74" s="24">
        <v>40178</v>
      </c>
      <c r="AD74" s="24">
        <v>40359</v>
      </c>
      <c r="AE74" s="24">
        <v>40543</v>
      </c>
      <c r="AF74" s="24">
        <v>40724</v>
      </c>
      <c r="AG74" s="24">
        <v>40908</v>
      </c>
      <c r="AH74" s="24">
        <v>41090</v>
      </c>
      <c r="AI74" s="24">
        <v>41274</v>
      </c>
      <c r="AJ74" s="24">
        <v>41455</v>
      </c>
      <c r="AK74" s="24">
        <v>41639</v>
      </c>
      <c r="AL74" s="24">
        <v>41820</v>
      </c>
      <c r="AM74" s="24">
        <v>42004</v>
      </c>
      <c r="AN74" s="24">
        <v>42185</v>
      </c>
      <c r="AO74" s="24">
        <v>42369</v>
      </c>
      <c r="AP74" s="24">
        <v>42551</v>
      </c>
      <c r="AQ74" s="24">
        <v>42735</v>
      </c>
      <c r="AR74" s="24">
        <v>42916</v>
      </c>
      <c r="AS74" s="24">
        <v>43100</v>
      </c>
      <c r="AT74" s="24">
        <v>43281</v>
      </c>
      <c r="AU74" s="24">
        <v>43465</v>
      </c>
      <c r="AV74" s="24">
        <v>43646</v>
      </c>
      <c r="AW74" s="24">
        <v>43830</v>
      </c>
      <c r="AX74" s="24">
        <v>44012</v>
      </c>
      <c r="AY74" s="24">
        <v>44196</v>
      </c>
      <c r="AZ74" s="24">
        <v>44377</v>
      </c>
      <c r="BA74" s="24">
        <v>44561</v>
      </c>
      <c r="BB74" s="24">
        <v>44742</v>
      </c>
      <c r="BC74" s="24">
        <v>44926</v>
      </c>
      <c r="BD74" s="24">
        <v>45107</v>
      </c>
      <c r="BE74" s="24">
        <v>45291</v>
      </c>
      <c r="BF74" s="24">
        <v>45473</v>
      </c>
      <c r="BG74" s="24">
        <v>45657</v>
      </c>
      <c r="BH74" s="24">
        <v>45838</v>
      </c>
      <c r="BI74" s="24">
        <v>46022</v>
      </c>
      <c r="BJ74" s="24">
        <v>46203</v>
      </c>
      <c r="BK74" s="24">
        <v>46387</v>
      </c>
    </row>
    <row r="75" spans="1:68">
      <c r="A75" s="2" t="s">
        <v>38</v>
      </c>
      <c r="F75">
        <v>11</v>
      </c>
      <c r="G75">
        <v>12</v>
      </c>
      <c r="H75">
        <v>13</v>
      </c>
      <c r="I75">
        <v>14</v>
      </c>
      <c r="J75">
        <v>15</v>
      </c>
      <c r="K75">
        <v>16</v>
      </c>
      <c r="L75">
        <v>17</v>
      </c>
      <c r="M75">
        <v>18</v>
      </c>
      <c r="N75">
        <v>19</v>
      </c>
      <c r="O75">
        <v>20</v>
      </c>
      <c r="P75">
        <v>21</v>
      </c>
      <c r="Q75">
        <v>22</v>
      </c>
      <c r="R75">
        <v>23</v>
      </c>
      <c r="S75">
        <v>24</v>
      </c>
      <c r="T75">
        <v>25</v>
      </c>
      <c r="U75">
        <v>26</v>
      </c>
      <c r="V75">
        <v>27</v>
      </c>
      <c r="W75">
        <v>28</v>
      </c>
      <c r="X75">
        <v>29</v>
      </c>
      <c r="Y75">
        <v>30</v>
      </c>
      <c r="Z75">
        <v>31</v>
      </c>
      <c r="AA75">
        <v>32</v>
      </c>
      <c r="AB75">
        <v>33</v>
      </c>
      <c r="AC75">
        <v>34</v>
      </c>
      <c r="AD75">
        <v>35</v>
      </c>
      <c r="AE75">
        <v>36</v>
      </c>
      <c r="AF75">
        <v>37</v>
      </c>
      <c r="AG75">
        <v>38</v>
      </c>
      <c r="AH75">
        <v>39</v>
      </c>
      <c r="AI75">
        <v>40</v>
      </c>
      <c r="AJ75">
        <v>41</v>
      </c>
      <c r="AK75">
        <v>42</v>
      </c>
      <c r="AL75">
        <v>43</v>
      </c>
      <c r="AM75">
        <v>44</v>
      </c>
      <c r="AN75">
        <v>45</v>
      </c>
      <c r="AO75">
        <v>46</v>
      </c>
      <c r="AP75">
        <v>47</v>
      </c>
      <c r="AQ75">
        <v>48</v>
      </c>
      <c r="AR75">
        <v>49</v>
      </c>
      <c r="AS75">
        <v>50</v>
      </c>
      <c r="AT75">
        <v>51</v>
      </c>
      <c r="AU75">
        <v>52</v>
      </c>
      <c r="AV75">
        <v>53</v>
      </c>
      <c r="AW75">
        <v>54</v>
      </c>
      <c r="AX75">
        <v>55</v>
      </c>
      <c r="AY75">
        <v>56</v>
      </c>
      <c r="AZ75">
        <v>57</v>
      </c>
      <c r="BA75">
        <v>58</v>
      </c>
      <c r="BB75">
        <v>59</v>
      </c>
      <c r="BC75">
        <v>60</v>
      </c>
      <c r="BD75">
        <v>61</v>
      </c>
      <c r="BE75">
        <v>62</v>
      </c>
      <c r="BF75">
        <v>63</v>
      </c>
      <c r="BG75">
        <v>64</v>
      </c>
      <c r="BH75">
        <v>65</v>
      </c>
      <c r="BI75">
        <v>66</v>
      </c>
      <c r="BJ75">
        <v>67</v>
      </c>
      <c r="BK75">
        <v>68</v>
      </c>
      <c r="BL75" s="156"/>
      <c r="BM75" s="156"/>
      <c r="BN75" s="156"/>
      <c r="BO75" s="156"/>
      <c r="BP75" s="156"/>
    </row>
    <row r="76" spans="1:68">
      <c r="A76" s="2" t="s">
        <v>26</v>
      </c>
      <c r="F76" s="138">
        <f>1/((1+($D$11/$D$8))^(F75))</f>
        <v>0.51013450566574603</v>
      </c>
      <c r="G76" s="138">
        <f>1/((1+($D$11/$D$8))^(G75))</f>
        <v>0.47985561627856849</v>
      </c>
      <c r="H76" s="138">
        <f t="shared" ref="H76:BK76" si="21">1/((1+($D$11/$D$8))^(H75))</f>
        <v>0.45137392181221753</v>
      </c>
      <c r="I76" s="138">
        <f t="shared" si="21"/>
        <v>0.42458275027016984</v>
      </c>
      <c r="J76" s="138">
        <f t="shared" si="21"/>
        <v>0.39938176114210311</v>
      </c>
      <c r="K76" s="138">
        <f t="shared" si="21"/>
        <v>0.37567656960032281</v>
      </c>
      <c r="L76" s="138">
        <f t="shared" si="21"/>
        <v>0.35337839300190277</v>
      </c>
      <c r="M76" s="138">
        <f t="shared" si="21"/>
        <v>0.33240371837259219</v>
      </c>
      <c r="N76" s="138">
        <f t="shared" si="21"/>
        <v>0.31267398962712084</v>
      </c>
      <c r="O76" s="138">
        <f t="shared" si="21"/>
        <v>0.29411531335445479</v>
      </c>
      <c r="P76" s="138">
        <f t="shared" si="21"/>
        <v>0.27665818206608483</v>
      </c>
      <c r="Q76" s="138">
        <f t="shared" si="21"/>
        <v>0.26023721387083515</v>
      </c>
      <c r="R76" s="138">
        <f t="shared" si="21"/>
        <v>0.24479090760119948</v>
      </c>
      <c r="S76" s="138">
        <f t="shared" si="21"/>
        <v>0.23026141247408474</v>
      </c>
      <c r="T76" s="138">
        <f t="shared" si="21"/>
        <v>0.21659431142327601</v>
      </c>
      <c r="U76" s="138">
        <f t="shared" si="21"/>
        <v>0.20373841729214187</v>
      </c>
      <c r="V76" s="138">
        <f t="shared" si="21"/>
        <v>0.19164558112326391</v>
      </c>
      <c r="W76" s="138">
        <f t="shared" si="21"/>
        <v>0.18027051182698139</v>
      </c>
      <c r="X76" s="138">
        <f t="shared" si="21"/>
        <v>0.16957060655345818</v>
      </c>
      <c r="Y76" s="138">
        <f t="shared" si="21"/>
        <v>0.15950579113296792</v>
      </c>
      <c r="Z76" s="138">
        <f t="shared" si="21"/>
        <v>0.15003836998680078</v>
      </c>
      <c r="AA76" s="138">
        <f t="shared" si="21"/>
        <v>0.14113288494666618</v>
      </c>
      <c r="AB76" s="138">
        <f t="shared" si="21"/>
        <v>0.13275598245382955</v>
      </c>
      <c r="AC76" s="138">
        <f t="shared" si="21"/>
        <v>0.12487628864060722</v>
      </c>
      <c r="AD76" s="138">
        <f t="shared" si="21"/>
        <v>0.11746429182636368</v>
      </c>
      <c r="AE76" s="138">
        <f t="shared" si="21"/>
        <v>0.11049223198792557</v>
      </c>
      <c r="AF76" s="138">
        <f t="shared" si="21"/>
        <v>0.10393399679044829</v>
      </c>
      <c r="AG76" s="138">
        <f t="shared" si="21"/>
        <v>9.7765023789340905E-2</v>
      </c>
      <c r="AH76" s="138">
        <f t="shared" si="21"/>
        <v>9.1962208436968201E-2</v>
      </c>
      <c r="AI76" s="138">
        <f t="shared" si="21"/>
        <v>8.6503817549589135E-2</v>
      </c>
      <c r="AJ76" s="138">
        <f t="shared" si="21"/>
        <v>8.1369407910440353E-2</v>
      </c>
      <c r="AK76" s="138">
        <f t="shared" si="21"/>
        <v>7.653974970411094E-2</v>
      </c>
      <c r="AL76" s="138">
        <f t="shared" si="21"/>
        <v>7.1996754495448165E-2</v>
      </c>
      <c r="AM76" s="138">
        <f t="shared" si="21"/>
        <v>6.7723407483254797E-2</v>
      </c>
      <c r="AN76" s="138">
        <f t="shared" si="21"/>
        <v>6.3703703775049192E-2</v>
      </c>
      <c r="AO76" s="138">
        <f t="shared" si="21"/>
        <v>5.992258844421898E-2</v>
      </c>
      <c r="AP76" s="138">
        <f t="shared" si="21"/>
        <v>5.6365900145065345E-2</v>
      </c>
      <c r="AQ76" s="138">
        <f t="shared" si="21"/>
        <v>5.3020318074560591E-2</v>
      </c>
      <c r="AR76" s="138">
        <f t="shared" si="21"/>
        <v>4.9873312082175325E-2</v>
      </c>
      <c r="AS76" s="138">
        <f t="shared" si="21"/>
        <v>4.6913095740923082E-2</v>
      </c>
      <c r="AT76" s="138">
        <f t="shared" si="21"/>
        <v>4.412858220385954E-2</v>
      </c>
      <c r="AU76" s="138">
        <f t="shared" si="21"/>
        <v>4.1509342680706947E-2</v>
      </c>
      <c r="AV76" s="138">
        <f t="shared" si="21"/>
        <v>3.9045567379086571E-2</v>
      </c>
      <c r="AW76" s="138">
        <f t="shared" si="21"/>
        <v>3.6728028764073543E-2</v>
      </c>
      <c r="AX76" s="138">
        <f t="shared" si="21"/>
        <v>3.4548046998470076E-2</v>
      </c>
      <c r="AY76" s="138">
        <f t="shared" si="21"/>
        <v>3.2497457434361846E-2</v>
      </c>
      <c r="AZ76" s="138">
        <f t="shared" si="21"/>
        <v>3.05685800342036E-2</v>
      </c>
      <c r="BA76" s="138">
        <f t="shared" si="21"/>
        <v>2.8754190606907724E-2</v>
      </c>
      <c r="BB76" s="138">
        <f t="shared" si="21"/>
        <v>2.7047493751206585E-2</v>
      </c>
      <c r="BC76" s="138">
        <f t="shared" si="21"/>
        <v>2.5442097404953991E-2</v>
      </c>
      <c r="BD76" s="138">
        <f t="shared" si="21"/>
        <v>2.3931988905045609E-2</v>
      </c>
      <c r="BE76" s="138">
        <f t="shared" si="21"/>
        <v>2.2511512468296128E-2</v>
      </c>
      <c r="BF76" s="138">
        <f t="shared" si="21"/>
        <v>2.117534800893249E-2</v>
      </c>
      <c r="BG76" s="138">
        <f t="shared" si="21"/>
        <v>1.9918491213368913E-2</v>
      </c>
      <c r="BH76" s="138">
        <f t="shared" si="21"/>
        <v>1.873623479763796E-2</v>
      </c>
      <c r="BI76" s="138">
        <f t="shared" si="21"/>
        <v>1.7624150877281496E-2</v>
      </c>
      <c r="BJ76" s="138">
        <f t="shared" si="21"/>
        <v>1.6578074383671808E-2</v>
      </c>
      <c r="BK76" s="138">
        <f t="shared" si="21"/>
        <v>1.5594087464652252E-2</v>
      </c>
    </row>
    <row r="78" spans="1:68" ht="21">
      <c r="A78" s="29" t="s">
        <v>27</v>
      </c>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row>
    <row r="79" spans="1:68">
      <c r="A79" s="2" t="s">
        <v>37</v>
      </c>
      <c r="F79">
        <v>1</v>
      </c>
      <c r="G79">
        <v>2</v>
      </c>
      <c r="H79">
        <v>3</v>
      </c>
      <c r="I79">
        <v>4</v>
      </c>
      <c r="J79">
        <v>5</v>
      </c>
      <c r="K79">
        <v>6</v>
      </c>
      <c r="L79">
        <v>7</v>
      </c>
      <c r="M79">
        <v>8</v>
      </c>
      <c r="N79">
        <v>9</v>
      </c>
      <c r="O79">
        <v>10</v>
      </c>
      <c r="P79">
        <v>11</v>
      </c>
      <c r="Q79">
        <v>12</v>
      </c>
      <c r="R79">
        <v>13</v>
      </c>
      <c r="S79">
        <v>14</v>
      </c>
      <c r="T79">
        <v>15</v>
      </c>
      <c r="U79">
        <v>16</v>
      </c>
      <c r="V79">
        <v>17</v>
      </c>
      <c r="W79">
        <v>18</v>
      </c>
    </row>
    <row r="80" spans="1:68">
      <c r="A80" s="27"/>
      <c r="B80" s="26" t="s">
        <v>28</v>
      </c>
      <c r="C80" s="27"/>
      <c r="D80" s="71">
        <f>SUM(F80:CQ80)</f>
        <v>-5770106.3451796882</v>
      </c>
      <c r="E80" s="71"/>
      <c r="F80" s="71">
        <f>PMT($D$55,$D$59,$D$60)</f>
        <v>-320561.46362109372</v>
      </c>
      <c r="G80" s="71">
        <f t="shared" ref="G80:W80" si="22">PMT($D$55,$D$59,$D$60)</f>
        <v>-320561.46362109372</v>
      </c>
      <c r="H80" s="71">
        <f t="shared" si="22"/>
        <v>-320561.46362109372</v>
      </c>
      <c r="I80" s="71">
        <f t="shared" si="22"/>
        <v>-320561.46362109372</v>
      </c>
      <c r="J80" s="71">
        <f t="shared" si="22"/>
        <v>-320561.46362109372</v>
      </c>
      <c r="K80" s="71">
        <f t="shared" si="22"/>
        <v>-320561.46362109372</v>
      </c>
      <c r="L80" s="71">
        <f t="shared" si="22"/>
        <v>-320561.46362109372</v>
      </c>
      <c r="M80" s="71">
        <f t="shared" si="22"/>
        <v>-320561.46362109372</v>
      </c>
      <c r="N80" s="71">
        <f t="shared" si="22"/>
        <v>-320561.46362109372</v>
      </c>
      <c r="O80" s="71">
        <f t="shared" si="22"/>
        <v>-320561.46362109372</v>
      </c>
      <c r="P80" s="71">
        <f t="shared" si="22"/>
        <v>-320561.46362109372</v>
      </c>
      <c r="Q80" s="71">
        <f t="shared" si="22"/>
        <v>-320561.46362109372</v>
      </c>
      <c r="R80" s="71">
        <f t="shared" si="22"/>
        <v>-320561.46362109372</v>
      </c>
      <c r="S80" s="71">
        <f t="shared" si="22"/>
        <v>-320561.46362109372</v>
      </c>
      <c r="T80" s="71">
        <f t="shared" si="22"/>
        <v>-320561.46362109372</v>
      </c>
      <c r="U80" s="71">
        <f t="shared" si="22"/>
        <v>-320561.46362109372</v>
      </c>
      <c r="V80" s="71">
        <f t="shared" si="22"/>
        <v>-320561.46362109372</v>
      </c>
      <c r="W80" s="71">
        <f t="shared" si="22"/>
        <v>-320561.46362109372</v>
      </c>
      <c r="X80" s="47"/>
      <c r="Y80" s="47"/>
      <c r="Z80" s="47"/>
      <c r="AA80" s="47"/>
    </row>
    <row r="81" spans="1:72">
      <c r="A81" s="27"/>
      <c r="B81" s="27"/>
      <c r="C81" s="27" t="s">
        <v>29</v>
      </c>
      <c r="D81" s="71">
        <f t="shared" ref="D81:D86" si="23">SUM(F81:CQ81)</f>
        <v>-2806716</v>
      </c>
      <c r="E81" s="71"/>
      <c r="F81" s="71">
        <f>PPMT($D$55,F$79,$D$59,$D$60)</f>
        <v>-67957.023621093729</v>
      </c>
      <c r="G81" s="71">
        <f t="shared" ref="G81:W81" si="24">PPMT($D$55,G$79,$D$59,$D$60)</f>
        <v>-74073.155746992168</v>
      </c>
      <c r="H81" s="71">
        <f t="shared" si="24"/>
        <v>-80739.739764221449</v>
      </c>
      <c r="I81" s="71">
        <f t="shared" si="24"/>
        <v>-88006.316343001381</v>
      </c>
      <c r="J81" s="71">
        <f t="shared" si="24"/>
        <v>-95926.884813871497</v>
      </c>
      <c r="K81" s="71">
        <f t="shared" si="24"/>
        <v>-104560.30444711995</v>
      </c>
      <c r="L81" s="71">
        <f t="shared" si="24"/>
        <v>-113970.73184736073</v>
      </c>
      <c r="M81" s="71">
        <f t="shared" si="24"/>
        <v>-124228.0977136232</v>
      </c>
      <c r="N81" s="71">
        <f t="shared" si="24"/>
        <v>-135408.62650784932</v>
      </c>
      <c r="O81" s="71">
        <f t="shared" si="24"/>
        <v>-147595.40289355576</v>
      </c>
      <c r="P81" s="71">
        <f t="shared" si="24"/>
        <v>-160878.98915397577</v>
      </c>
      <c r="Q81" s="71">
        <f t="shared" si="24"/>
        <v>-175358.09817783357</v>
      </c>
      <c r="R81" s="71">
        <f t="shared" si="24"/>
        <v>-191140.32701383863</v>
      </c>
      <c r="S81" s="71">
        <f t="shared" si="24"/>
        <v>-208342.9564450841</v>
      </c>
      <c r="T81" s="71">
        <f t="shared" si="24"/>
        <v>-227093.82252514164</v>
      </c>
      <c r="U81" s="71">
        <f t="shared" si="24"/>
        <v>-247532.26655240436</v>
      </c>
      <c r="V81" s="71">
        <f t="shared" si="24"/>
        <v>-269810.17054212082</v>
      </c>
      <c r="W81" s="71">
        <f t="shared" si="24"/>
        <v>-294093.08589091164</v>
      </c>
      <c r="X81" s="71"/>
      <c r="Y81" s="71"/>
      <c r="Z81" s="71"/>
      <c r="AA81" s="71"/>
    </row>
    <row r="82" spans="1:72">
      <c r="A82" s="27"/>
      <c r="B82" s="27"/>
      <c r="C82" s="27" t="s">
        <v>30</v>
      </c>
      <c r="D82" s="71">
        <f t="shared" si="23"/>
        <v>-2963390.3451796868</v>
      </c>
      <c r="E82" s="71"/>
      <c r="F82" s="71">
        <f>IPMT($D$55,F$79,$D$59,$D$60)</f>
        <v>-252604.44</v>
      </c>
      <c r="G82" s="71">
        <f t="shared" ref="G82:W82" si="25">IPMT($D$55,G$79,$D$59,$D$60)</f>
        <v>-246488.30787410156</v>
      </c>
      <c r="H82" s="71">
        <f t="shared" si="25"/>
        <v>-239821.72385687227</v>
      </c>
      <c r="I82" s="71">
        <f t="shared" si="25"/>
        <v>-232555.14727809231</v>
      </c>
      <c r="J82" s="71">
        <f t="shared" si="25"/>
        <v>-224634.57880722225</v>
      </c>
      <c r="K82" s="71">
        <f t="shared" si="25"/>
        <v>-216001.15917397375</v>
      </c>
      <c r="L82" s="71">
        <f t="shared" si="25"/>
        <v>-206590.73177373299</v>
      </c>
      <c r="M82" s="71">
        <f t="shared" si="25"/>
        <v>-196333.36590747052</v>
      </c>
      <c r="N82" s="71">
        <f t="shared" si="25"/>
        <v>-185152.83711324443</v>
      </c>
      <c r="O82" s="71">
        <f t="shared" si="25"/>
        <v>-172966.06072753796</v>
      </c>
      <c r="P82" s="71">
        <f t="shared" si="25"/>
        <v>-159682.47446711798</v>
      </c>
      <c r="Q82" s="71">
        <f t="shared" si="25"/>
        <v>-145203.36544326015</v>
      </c>
      <c r="R82" s="71">
        <f t="shared" si="25"/>
        <v>-129421.13660725515</v>
      </c>
      <c r="S82" s="71">
        <f t="shared" si="25"/>
        <v>-112218.50717600963</v>
      </c>
      <c r="T82" s="71">
        <f t="shared" si="25"/>
        <v>-93467.641095952073</v>
      </c>
      <c r="U82" s="71">
        <f t="shared" si="25"/>
        <v>-73029.197068689318</v>
      </c>
      <c r="V82" s="71">
        <f t="shared" si="25"/>
        <v>-50751.293078972929</v>
      </c>
      <c r="W82" s="71">
        <f t="shared" si="25"/>
        <v>-26468.377730182052</v>
      </c>
      <c r="X82" s="71"/>
      <c r="Y82" s="71"/>
      <c r="Z82" s="71"/>
      <c r="AA82" s="71"/>
    </row>
    <row r="83" spans="1:72">
      <c r="A83" s="27"/>
      <c r="B83" s="33" t="s">
        <v>31</v>
      </c>
      <c r="C83" s="33"/>
      <c r="D83" s="71"/>
      <c r="E83" s="71">
        <f>D60</f>
        <v>2806716</v>
      </c>
      <c r="F83" s="71">
        <f>E83+F81</f>
        <v>2738758.9763789061</v>
      </c>
      <c r="G83" s="71">
        <f t="shared" ref="G83" si="26">F83+G81</f>
        <v>2664685.8206319138</v>
      </c>
      <c r="H83" s="71">
        <f t="shared" ref="H83" si="27">G83+H81</f>
        <v>2583946.0808676924</v>
      </c>
      <c r="I83" s="71">
        <f t="shared" ref="I83" si="28">H83+I81</f>
        <v>2495939.7645246908</v>
      </c>
      <c r="J83" s="71">
        <f t="shared" ref="J83" si="29">I83+J81</f>
        <v>2400012.8797108191</v>
      </c>
      <c r="K83" s="71">
        <f t="shared" ref="K83" si="30">J83+K81</f>
        <v>2295452.5752636991</v>
      </c>
      <c r="L83" s="71">
        <f t="shared" ref="L83" si="31">K83+L81</f>
        <v>2181481.8434163383</v>
      </c>
      <c r="M83" s="71">
        <f t="shared" ref="M83" si="32">L83+M81</f>
        <v>2057253.7457027151</v>
      </c>
      <c r="N83" s="71">
        <f t="shared" ref="N83" si="33">M83+N81</f>
        <v>1921845.1191948657</v>
      </c>
      <c r="O83" s="71">
        <f t="shared" ref="O83" si="34">N83+O81</f>
        <v>1774249.7163013099</v>
      </c>
      <c r="P83" s="71">
        <f t="shared" ref="P83" si="35">O83+P81</f>
        <v>1613370.727147334</v>
      </c>
      <c r="Q83" s="71">
        <f t="shared" ref="Q83" si="36">P83+Q81</f>
        <v>1438012.6289695005</v>
      </c>
      <c r="R83" s="71">
        <f t="shared" ref="R83" si="37">Q83+R81</f>
        <v>1246872.301955662</v>
      </c>
      <c r="S83" s="71">
        <f t="shared" ref="S83" si="38">R83+S81</f>
        <v>1038529.3455105779</v>
      </c>
      <c r="T83" s="71">
        <f t="shared" ref="T83" si="39">S83+T81</f>
        <v>811435.52298543626</v>
      </c>
      <c r="U83" s="71">
        <f t="shared" ref="U83" si="40">T83+U81</f>
        <v>563903.25643303187</v>
      </c>
      <c r="V83" s="71">
        <f t="shared" ref="V83" si="41">U83+V81</f>
        <v>294093.08589091105</v>
      </c>
      <c r="W83" s="71">
        <f t="shared" ref="W83" si="42">V83+W81</f>
        <v>-5.8207660913467407E-10</v>
      </c>
      <c r="X83" s="71"/>
      <c r="Y83" s="71"/>
      <c r="Z83" s="71"/>
      <c r="AA83" s="71"/>
    </row>
    <row r="84" spans="1:72">
      <c r="A84" s="27"/>
      <c r="B84" s="26" t="s">
        <v>32</v>
      </c>
      <c r="C84" s="27"/>
      <c r="D84" s="71">
        <f t="shared" si="23"/>
        <v>-1839308.9354256969</v>
      </c>
      <c r="E84" s="71"/>
      <c r="F84" s="71">
        <f>F80*F76</f>
        <v>-163529.46377983468</v>
      </c>
      <c r="G84" s="71">
        <f t="shared" ref="G84:W84" si="43">G80*G76</f>
        <v>-153823.21868105984</v>
      </c>
      <c r="H84" s="71">
        <f t="shared" si="43"/>
        <v>-144693.08501651758</v>
      </c>
      <c r="I84" s="71">
        <f t="shared" si="43"/>
        <v>-136104.86785487496</v>
      </c>
      <c r="J84" s="71">
        <f t="shared" si="43"/>
        <v>-128026.40189528263</v>
      </c>
      <c r="K84" s="71">
        <f t="shared" si="43"/>
        <v>-120427.43099923116</v>
      </c>
      <c r="L84" s="71">
        <f t="shared" si="43"/>
        <v>-113279.49487276001</v>
      </c>
      <c r="M84" s="71">
        <f t="shared" si="43"/>
        <v>-106555.822474612</v>
      </c>
      <c r="N84" s="71">
        <f t="shared" si="43"/>
        <v>-100231.23175111653</v>
      </c>
      <c r="O84" s="71">
        <f t="shared" si="43"/>
        <v>-94282.035322280644</v>
      </c>
      <c r="P84" s="71">
        <f t="shared" si="43"/>
        <v>-88685.951765855178</v>
      </c>
      <c r="Q84" s="71">
        <f t="shared" si="43"/>
        <v>-83422.02216711051</v>
      </c>
      <c r="R84" s="71">
        <f t="shared" si="43"/>
        <v>-78470.531621776419</v>
      </c>
      <c r="S84" s="71">
        <f t="shared" si="43"/>
        <v>-73812.935398152971</v>
      </c>
      <c r="T84" s="71">
        <f t="shared" si="43"/>
        <v>-69431.789481848333</v>
      </c>
      <c r="U84" s="71">
        <f t="shared" si="43"/>
        <v>-65310.685243014144</v>
      </c>
      <c r="V84" s="71">
        <f t="shared" si="43"/>
        <v>-61434.187981388532</v>
      </c>
      <c r="W84" s="71">
        <f t="shared" si="43"/>
        <v>-57787.779118980841</v>
      </c>
      <c r="X84" s="71"/>
      <c r="Y84" s="71"/>
      <c r="Z84" s="71"/>
      <c r="AA84" s="71"/>
    </row>
    <row r="85" spans="1:72">
      <c r="A85" s="27"/>
      <c r="B85" s="27"/>
      <c r="C85" s="27" t="s">
        <v>29</v>
      </c>
      <c r="D85" s="71">
        <f t="shared" si="23"/>
        <v>-778180.47279596585</v>
      </c>
      <c r="E85" s="71"/>
      <c r="F85" s="71">
        <f>F81*F76</f>
        <v>-34667.222651462078</v>
      </c>
      <c r="G85" s="71">
        <f t="shared" ref="G85:W85" si="44">G81*G76</f>
        <v>-35544.419800671312</v>
      </c>
      <c r="H85" s="71">
        <f t="shared" si="44"/>
        <v>-36443.812983474483</v>
      </c>
      <c r="I85" s="71">
        <f t="shared" si="44"/>
        <v>-37365.963834058122</v>
      </c>
      <c r="J85" s="71">
        <f t="shared" si="44"/>
        <v>-38311.448197839665</v>
      </c>
      <c r="K85" s="71">
        <f t="shared" si="44"/>
        <v>-39280.8564910594</v>
      </c>
      <c r="L85" s="71">
        <f t="shared" si="44"/>
        <v>-40274.794069471114</v>
      </c>
      <c r="M85" s="71">
        <f t="shared" si="44"/>
        <v>-41293.881606362069</v>
      </c>
      <c r="N85" s="71">
        <f t="shared" si="44"/>
        <v>-42338.755480137959</v>
      </c>
      <c r="O85" s="71">
        <f t="shared" si="44"/>
        <v>-43410.068171715153</v>
      </c>
      <c r="P85" s="71">
        <f t="shared" si="44"/>
        <v>-44508.488671968313</v>
      </c>
      <c r="Q85" s="71">
        <f t="shared" si="44"/>
        <v>-45634.702899487784</v>
      </c>
      <c r="R85" s="71">
        <f t="shared" si="44"/>
        <v>-46789.414128907621</v>
      </c>
      <c r="S85" s="71">
        <f t="shared" si="44"/>
        <v>-47973.343430071785</v>
      </c>
      <c r="T85" s="71">
        <f t="shared" si="44"/>
        <v>-49187.230118312698</v>
      </c>
      <c r="U85" s="71">
        <f t="shared" si="44"/>
        <v>-50431.832216123454</v>
      </c>
      <c r="V85" s="71">
        <f t="shared" si="44"/>
        <v>-51707.926926511682</v>
      </c>
      <c r="W85" s="71">
        <f t="shared" si="44"/>
        <v>-53016.311118331039</v>
      </c>
      <c r="X85" s="71"/>
      <c r="Y85" s="71"/>
      <c r="Z85" s="71"/>
      <c r="AA85" s="71"/>
    </row>
    <row r="86" spans="1:72">
      <c r="A86" s="27"/>
      <c r="B86" s="27"/>
      <c r="C86" s="27" t="s">
        <v>30</v>
      </c>
      <c r="D86" s="71">
        <f t="shared" si="23"/>
        <v>-1061128.4626297313</v>
      </c>
      <c r="E86" s="71"/>
      <c r="F86" s="71">
        <f>F82*F76</f>
        <v>-128862.24112837261</v>
      </c>
      <c r="G86" s="71">
        <f t="shared" ref="G86:W86" si="45">G82*G76</f>
        <v>-118278.79888038854</v>
      </c>
      <c r="H86" s="71">
        <f t="shared" si="45"/>
        <v>-108249.27203304309</v>
      </c>
      <c r="I86" s="71">
        <f t="shared" si="45"/>
        <v>-98738.90402081683</v>
      </c>
      <c r="J86" s="71">
        <f t="shared" si="45"/>
        <v>-89714.953697442979</v>
      </c>
      <c r="K86" s="71">
        <f t="shared" si="45"/>
        <v>-81146.574508171761</v>
      </c>
      <c r="L86" s="71">
        <f t="shared" si="45"/>
        <v>-73004.700803288899</v>
      </c>
      <c r="M86" s="71">
        <f t="shared" si="45"/>
        <v>-65261.940868249927</v>
      </c>
      <c r="N86" s="71">
        <f t="shared" si="45"/>
        <v>-57892.476270978586</v>
      </c>
      <c r="O86" s="71">
        <f t="shared" si="45"/>
        <v>-50871.967150565484</v>
      </c>
      <c r="P86" s="71">
        <f t="shared" si="45"/>
        <v>-44177.463093886872</v>
      </c>
      <c r="Q86" s="71">
        <f t="shared" si="45"/>
        <v>-37787.319267622726</v>
      </c>
      <c r="R86" s="71">
        <f t="shared" si="45"/>
        <v>-31681.117492868809</v>
      </c>
      <c r="S86" s="71">
        <f t="shared" si="45"/>
        <v>-25839.591968081193</v>
      </c>
      <c r="T86" s="71">
        <f t="shared" si="45"/>
        <v>-20244.559363535634</v>
      </c>
      <c r="U86" s="71">
        <f t="shared" si="45"/>
        <v>-14878.853026890689</v>
      </c>
      <c r="V86" s="71">
        <f t="shared" si="45"/>
        <v>-9726.261054876848</v>
      </c>
      <c r="W86" s="71">
        <f t="shared" si="45"/>
        <v>-4771.4680006497947</v>
      </c>
      <c r="X86" s="71"/>
      <c r="Y86" s="71"/>
      <c r="Z86" s="71"/>
      <c r="AA86" s="71"/>
    </row>
    <row r="88" spans="1:72" ht="21">
      <c r="A88" s="29" t="s">
        <v>33</v>
      </c>
      <c r="B88" s="30"/>
      <c r="C88" s="30"/>
      <c r="D88" s="30"/>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row>
    <row r="89" spans="1:72">
      <c r="A89" s="36" t="s">
        <v>150</v>
      </c>
      <c r="B89" s="44"/>
      <c r="C89" s="37"/>
      <c r="D89" s="37"/>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row>
    <row r="90" spans="1:72">
      <c r="A90" s="140" t="s">
        <v>24</v>
      </c>
      <c r="B90" s="141"/>
      <c r="C90" s="142"/>
      <c r="D90" s="142"/>
      <c r="E90" s="141" t="s">
        <v>25</v>
      </c>
      <c r="F90" s="141" t="s">
        <v>25</v>
      </c>
      <c r="G90" s="141" t="s">
        <v>25</v>
      </c>
      <c r="H90" s="141" t="s">
        <v>25</v>
      </c>
      <c r="I90" s="141" t="s">
        <v>25</v>
      </c>
      <c r="J90" s="141" t="s">
        <v>25</v>
      </c>
      <c r="K90" s="141" t="s">
        <v>25</v>
      </c>
      <c r="L90" s="141" t="s">
        <v>25</v>
      </c>
      <c r="M90" s="141" t="s">
        <v>25</v>
      </c>
      <c r="N90" s="141" t="s">
        <v>25</v>
      </c>
      <c r="O90" s="141" t="s">
        <v>25</v>
      </c>
      <c r="P90" s="141" t="s">
        <v>25</v>
      </c>
      <c r="Q90" s="141" t="s">
        <v>25</v>
      </c>
      <c r="R90" s="141" t="s">
        <v>25</v>
      </c>
      <c r="S90" s="141" t="s">
        <v>25</v>
      </c>
      <c r="T90" s="141" t="s">
        <v>25</v>
      </c>
      <c r="U90" s="141" t="s">
        <v>25</v>
      </c>
      <c r="V90" s="141" t="s">
        <v>25</v>
      </c>
      <c r="W90" s="141" t="s">
        <v>25</v>
      </c>
      <c r="X90" s="141" t="s">
        <v>25</v>
      </c>
      <c r="Y90" s="141" t="s">
        <v>25</v>
      </c>
      <c r="Z90" s="141" t="s">
        <v>25</v>
      </c>
      <c r="AA90" s="141" t="s">
        <v>25</v>
      </c>
      <c r="AB90" s="141" t="s">
        <v>25</v>
      </c>
      <c r="AC90" s="141" t="s">
        <v>25</v>
      </c>
      <c r="AD90" s="141" t="s">
        <v>25</v>
      </c>
      <c r="AE90" s="141" t="s">
        <v>25</v>
      </c>
      <c r="AF90" s="141" t="s">
        <v>25</v>
      </c>
      <c r="AG90" t="s">
        <v>25</v>
      </c>
      <c r="AH90" t="s">
        <v>25</v>
      </c>
      <c r="AI90" t="s">
        <v>25</v>
      </c>
      <c r="AJ90" t="s">
        <v>25</v>
      </c>
      <c r="AK90" t="s">
        <v>25</v>
      </c>
      <c r="AL90" s="141">
        <v>1</v>
      </c>
      <c r="AM90" s="141">
        <v>2</v>
      </c>
      <c r="AN90" s="141">
        <v>3</v>
      </c>
      <c r="AO90" s="141">
        <v>4</v>
      </c>
      <c r="AP90" s="141">
        <v>5</v>
      </c>
      <c r="AQ90" s="141">
        <v>6</v>
      </c>
      <c r="AR90" s="141">
        <v>7</v>
      </c>
      <c r="AS90" s="141">
        <v>8</v>
      </c>
      <c r="AT90" s="141">
        <v>9</v>
      </c>
      <c r="AU90" s="141">
        <v>10</v>
      </c>
      <c r="AV90" s="141">
        <v>11</v>
      </c>
      <c r="AW90" s="141">
        <v>12</v>
      </c>
      <c r="AX90" s="141">
        <v>13</v>
      </c>
      <c r="AY90" s="141">
        <v>14</v>
      </c>
      <c r="AZ90" s="141">
        <v>15</v>
      </c>
      <c r="BA90" s="141">
        <v>16</v>
      </c>
      <c r="BB90" s="141">
        <v>17</v>
      </c>
      <c r="BC90" s="141">
        <v>18</v>
      </c>
      <c r="BD90" s="141">
        <v>19</v>
      </c>
      <c r="BE90" s="141">
        <v>20</v>
      </c>
      <c r="BF90" s="141">
        <v>21</v>
      </c>
      <c r="BG90" s="141">
        <v>22</v>
      </c>
      <c r="BH90" s="141">
        <v>23</v>
      </c>
      <c r="BI90" s="141">
        <v>24</v>
      </c>
      <c r="BJ90" s="141">
        <v>25</v>
      </c>
      <c r="BK90" s="141">
        <v>26</v>
      </c>
      <c r="BL90" s="141"/>
      <c r="BM90" s="141"/>
      <c r="BN90" s="141"/>
      <c r="BO90" s="141"/>
      <c r="BP90" s="141"/>
      <c r="BQ90" s="141"/>
      <c r="BR90" s="141"/>
      <c r="BS90" s="141"/>
      <c r="BT90" s="141"/>
    </row>
    <row r="91" spans="1:72">
      <c r="A91" s="41"/>
      <c r="B91" s="26" t="s">
        <v>28</v>
      </c>
      <c r="C91" s="27"/>
      <c r="D91" s="71">
        <f>SUM(F91:CQ91)</f>
        <v>-2614820.420089378</v>
      </c>
      <c r="AL91" s="71">
        <f>PMT($D$65,$D$69,$D$70)</f>
        <v>-100570.01615728375</v>
      </c>
      <c r="AM91" s="71">
        <f t="shared" ref="AM91:BK91" si="46">PMT($D$65,$D$69,$D$70)</f>
        <v>-100570.01615728375</v>
      </c>
      <c r="AN91" s="71">
        <f t="shared" si="46"/>
        <v>-100570.01615728375</v>
      </c>
      <c r="AO91" s="71">
        <f t="shared" si="46"/>
        <v>-100570.01615728375</v>
      </c>
      <c r="AP91" s="71">
        <f t="shared" si="46"/>
        <v>-100570.01615728375</v>
      </c>
      <c r="AQ91" s="71">
        <f t="shared" si="46"/>
        <v>-100570.01615728375</v>
      </c>
      <c r="AR91" s="71">
        <f t="shared" si="46"/>
        <v>-100570.01615728375</v>
      </c>
      <c r="AS91" s="71">
        <f t="shared" si="46"/>
        <v>-100570.01615728375</v>
      </c>
      <c r="AT91" s="71">
        <f t="shared" si="46"/>
        <v>-100570.01615728375</v>
      </c>
      <c r="AU91" s="71">
        <f t="shared" si="46"/>
        <v>-100570.01615728375</v>
      </c>
      <c r="AV91" s="71">
        <f t="shared" si="46"/>
        <v>-100570.01615728375</v>
      </c>
      <c r="AW91" s="71">
        <f t="shared" si="46"/>
        <v>-100570.01615728375</v>
      </c>
      <c r="AX91" s="71">
        <f t="shared" si="46"/>
        <v>-100570.01615728375</v>
      </c>
      <c r="AY91" s="71">
        <f t="shared" si="46"/>
        <v>-100570.01615728375</v>
      </c>
      <c r="AZ91" s="71">
        <f t="shared" si="46"/>
        <v>-100570.01615728375</v>
      </c>
      <c r="BA91" s="71">
        <f t="shared" si="46"/>
        <v>-100570.01615728375</v>
      </c>
      <c r="BB91" s="71">
        <f t="shared" si="46"/>
        <v>-100570.01615728375</v>
      </c>
      <c r="BC91" s="71">
        <f t="shared" si="46"/>
        <v>-100570.01615728375</v>
      </c>
      <c r="BD91" s="71">
        <f t="shared" si="46"/>
        <v>-100570.01615728375</v>
      </c>
      <c r="BE91" s="71">
        <f t="shared" si="46"/>
        <v>-100570.01615728375</v>
      </c>
      <c r="BF91" s="71">
        <f t="shared" si="46"/>
        <v>-100570.01615728375</v>
      </c>
      <c r="BG91" s="71">
        <f t="shared" si="46"/>
        <v>-100570.01615728375</v>
      </c>
      <c r="BH91" s="71">
        <f t="shared" si="46"/>
        <v>-100570.01615728375</v>
      </c>
      <c r="BI91" s="71">
        <f t="shared" si="46"/>
        <v>-100570.01615728375</v>
      </c>
      <c r="BJ91" s="71">
        <f t="shared" si="46"/>
        <v>-100570.01615728375</v>
      </c>
      <c r="BK91" s="71">
        <f t="shared" si="46"/>
        <v>-100570.01615728375</v>
      </c>
      <c r="BL91" s="71"/>
      <c r="BM91" s="71"/>
      <c r="BN91" s="71"/>
      <c r="BO91" s="71"/>
      <c r="BP91" s="71"/>
      <c r="BQ91" s="71"/>
      <c r="BR91" s="71"/>
      <c r="BS91" s="71"/>
      <c r="BT91" s="71"/>
    </row>
    <row r="92" spans="1:72">
      <c r="A92" s="41"/>
      <c r="B92" s="27"/>
      <c r="C92" s="27" t="s">
        <v>29</v>
      </c>
      <c r="D92" s="71">
        <f t="shared" ref="D92:D97" si="47">SUM(F92:CQ92)</f>
        <v>-1698663.0000000007</v>
      </c>
      <c r="AL92" s="71">
        <f>PPMT($D$65,AL$90,$D$69,$D$70)</f>
        <v>-41116.811157283737</v>
      </c>
      <c r="AM92" s="71">
        <f t="shared" ref="AM92:BK92" si="48">PPMT($D$65,AM$90,$D$69,$D$70)</f>
        <v>-42555.899547788664</v>
      </c>
      <c r="AN92" s="71">
        <f t="shared" si="48"/>
        <v>-44045.356031961266</v>
      </c>
      <c r="AO92" s="71">
        <f t="shared" si="48"/>
        <v>-45586.943493079911</v>
      </c>
      <c r="AP92" s="71">
        <f t="shared" si="48"/>
        <v>-47182.48651533771</v>
      </c>
      <c r="AQ92" s="71">
        <f t="shared" si="48"/>
        <v>-48833.873543374524</v>
      </c>
      <c r="AR92" s="71">
        <f t="shared" si="48"/>
        <v>-50543.05911739263</v>
      </c>
      <c r="AS92" s="71">
        <f t="shared" si="48"/>
        <v>-52312.066186501368</v>
      </c>
      <c r="AT92" s="71">
        <f t="shared" si="48"/>
        <v>-54142.98850302893</v>
      </c>
      <c r="AU92" s="71">
        <f t="shared" si="48"/>
        <v>-56037.993100634936</v>
      </c>
      <c r="AV92" s="71">
        <f t="shared" si="48"/>
        <v>-57999.322859157161</v>
      </c>
      <c r="AW92" s="71">
        <f t="shared" si="48"/>
        <v>-60029.299159227659</v>
      </c>
      <c r="AX92" s="71">
        <f t="shared" si="48"/>
        <v>-62130.324629800627</v>
      </c>
      <c r="AY92" s="71">
        <f t="shared" si="48"/>
        <v>-64304.88599184365</v>
      </c>
      <c r="AZ92" s="71">
        <f t="shared" si="48"/>
        <v>-66555.557001558176</v>
      </c>
      <c r="BA92" s="71">
        <f t="shared" si="48"/>
        <v>-68885.00149661272</v>
      </c>
      <c r="BB92" s="71">
        <f t="shared" si="48"/>
        <v>-71295.976548994164</v>
      </c>
      <c r="BC92" s="71">
        <f t="shared" si="48"/>
        <v>-73791.335728208956</v>
      </c>
      <c r="BD92" s="71">
        <f t="shared" si="48"/>
        <v>-76374.032478696274</v>
      </c>
      <c r="BE92" s="71">
        <f t="shared" si="48"/>
        <v>-79047.123615450633</v>
      </c>
      <c r="BF92" s="71">
        <f t="shared" si="48"/>
        <v>-81813.77294199141</v>
      </c>
      <c r="BG92" s="71">
        <f t="shared" si="48"/>
        <v>-84677.254994961113</v>
      </c>
      <c r="BH92" s="71">
        <f t="shared" si="48"/>
        <v>-87640.958919784738</v>
      </c>
      <c r="BI92" s="71">
        <f t="shared" si="48"/>
        <v>-90708.392481977222</v>
      </c>
      <c r="BJ92" s="71">
        <f t="shared" si="48"/>
        <v>-93883.186218846415</v>
      </c>
      <c r="BK92" s="71">
        <f t="shared" si="48"/>
        <v>-97169.097736506024</v>
      </c>
      <c r="BL92" s="71"/>
      <c r="BM92" s="71"/>
      <c r="BN92" s="71"/>
      <c r="BO92" s="71"/>
      <c r="BP92" s="71"/>
      <c r="BQ92" s="71"/>
      <c r="BR92" s="71"/>
      <c r="BS92" s="71"/>
      <c r="BT92" s="71"/>
    </row>
    <row r="93" spans="1:72">
      <c r="A93" s="41"/>
      <c r="B93" s="27"/>
      <c r="C93" s="27" t="s">
        <v>30</v>
      </c>
      <c r="D93" s="71">
        <f t="shared" si="47"/>
        <v>-916157.42008937686</v>
      </c>
      <c r="AL93" s="71">
        <f>IPMT($D$65,AL$90,$D$69,$D$70)</f>
        <v>-59453.205000000016</v>
      </c>
      <c r="AM93" s="71">
        <f t="shared" ref="AM93:BK93" si="49">IPMT($D$65,AM$90,$D$69,$D$70)</f>
        <v>-58014.11660949509</v>
      </c>
      <c r="AN93" s="71">
        <f t="shared" si="49"/>
        <v>-56524.66012532248</v>
      </c>
      <c r="AO93" s="71">
        <f t="shared" si="49"/>
        <v>-54983.072664203835</v>
      </c>
      <c r="AP93" s="71">
        <f t="shared" si="49"/>
        <v>-53387.52964194605</v>
      </c>
      <c r="AQ93" s="71">
        <f t="shared" si="49"/>
        <v>-51736.142613909222</v>
      </c>
      <c r="AR93" s="71">
        <f t="shared" si="49"/>
        <v>-50026.957039891109</v>
      </c>
      <c r="AS93" s="71">
        <f t="shared" si="49"/>
        <v>-48257.949970782378</v>
      </c>
      <c r="AT93" s="71">
        <f t="shared" si="49"/>
        <v>-46427.027654254824</v>
      </c>
      <c r="AU93" s="71">
        <f t="shared" si="49"/>
        <v>-44532.02305664881</v>
      </c>
      <c r="AV93" s="71">
        <f t="shared" si="49"/>
        <v>-42570.6932981266</v>
      </c>
      <c r="AW93" s="71">
        <f t="shared" si="49"/>
        <v>-40540.716998056087</v>
      </c>
      <c r="AX93" s="71">
        <f t="shared" si="49"/>
        <v>-38439.691527483119</v>
      </c>
      <c r="AY93" s="71">
        <f t="shared" si="49"/>
        <v>-36265.130165440103</v>
      </c>
      <c r="AZ93" s="71">
        <f t="shared" si="49"/>
        <v>-34014.45915572557</v>
      </c>
      <c r="BA93" s="71">
        <f t="shared" si="49"/>
        <v>-31685.014660671037</v>
      </c>
      <c r="BB93" s="71">
        <f t="shared" si="49"/>
        <v>-29274.03960828959</v>
      </c>
      <c r="BC93" s="71">
        <f t="shared" si="49"/>
        <v>-26778.680429074793</v>
      </c>
      <c r="BD93" s="71">
        <f t="shared" si="49"/>
        <v>-24195.983678587487</v>
      </c>
      <c r="BE93" s="71">
        <f t="shared" si="49"/>
        <v>-21522.892541833109</v>
      </c>
      <c r="BF93" s="71">
        <f t="shared" si="49"/>
        <v>-18756.243215292339</v>
      </c>
      <c r="BG93" s="71">
        <f t="shared" si="49"/>
        <v>-15892.761162322644</v>
      </c>
      <c r="BH93" s="71">
        <f t="shared" si="49"/>
        <v>-12929.057237499004</v>
      </c>
      <c r="BI93" s="71">
        <f t="shared" si="49"/>
        <v>-9861.623675306535</v>
      </c>
      <c r="BJ93" s="71">
        <f t="shared" si="49"/>
        <v>-6686.8299384373349</v>
      </c>
      <c r="BK93" s="71">
        <f t="shared" si="49"/>
        <v>-3400.9184207777112</v>
      </c>
      <c r="BL93" s="71"/>
      <c r="BM93" s="71"/>
      <c r="BN93" s="71"/>
      <c r="BO93" s="71"/>
      <c r="BP93" s="71"/>
      <c r="BQ93" s="71"/>
      <c r="BR93" s="71"/>
      <c r="BS93" s="71"/>
      <c r="BT93" s="71"/>
    </row>
    <row r="94" spans="1:72">
      <c r="A94" s="41"/>
      <c r="B94" s="33" t="s">
        <v>31</v>
      </c>
      <c r="C94" s="42"/>
      <c r="D94" s="71"/>
      <c r="AK94" s="130">
        <f>D70</f>
        <v>1698663</v>
      </c>
      <c r="AL94" s="71">
        <f>AK94+AL92</f>
        <v>1657546.1888427162</v>
      </c>
      <c r="AM94" s="71">
        <f t="shared" ref="AM94" si="50">AL94+AM92</f>
        <v>1614990.2892949274</v>
      </c>
      <c r="AN94" s="71">
        <f t="shared" ref="AN94" si="51">AM94+AN92</f>
        <v>1570944.9332629661</v>
      </c>
      <c r="AO94" s="71">
        <f t="shared" ref="AO94" si="52">AN94+AO92</f>
        <v>1525357.9897698862</v>
      </c>
      <c r="AP94" s="71">
        <f t="shared" ref="AP94" si="53">AO94+AP92</f>
        <v>1478175.5032545486</v>
      </c>
      <c r="AQ94" s="71">
        <f t="shared" ref="AQ94" si="54">AP94+AQ92</f>
        <v>1429341.6297111742</v>
      </c>
      <c r="AR94" s="71">
        <f t="shared" ref="AR94" si="55">AQ94+AR92</f>
        <v>1378798.5705937815</v>
      </c>
      <c r="AS94" s="71">
        <f t="shared" ref="AS94" si="56">AR94+AS92</f>
        <v>1326486.5044072801</v>
      </c>
      <c r="AT94" s="71">
        <f t="shared" ref="AT94" si="57">AS94+AT92</f>
        <v>1272343.5159042513</v>
      </c>
      <c r="AU94" s="71">
        <f t="shared" ref="AU94" si="58">AT94+AU92</f>
        <v>1216305.5228036162</v>
      </c>
      <c r="AV94" s="71">
        <f t="shared" ref="AV94" si="59">AU94+AV92</f>
        <v>1158306.1999444591</v>
      </c>
      <c r="AW94" s="71">
        <f t="shared" ref="AW94" si="60">AV94+AW92</f>
        <v>1098276.9007852315</v>
      </c>
      <c r="AX94" s="71">
        <f t="shared" ref="AX94" si="61">AW94+AX92</f>
        <v>1036146.5761554309</v>
      </c>
      <c r="AY94" s="71">
        <f t="shared" ref="AY94" si="62">AX94+AY92</f>
        <v>971841.69016358722</v>
      </c>
      <c r="AZ94" s="71">
        <f t="shared" ref="AZ94" si="63">AY94+AZ92</f>
        <v>905286.13316202909</v>
      </c>
      <c r="BA94" s="71">
        <f t="shared" ref="BA94" si="64">AZ94+BA92</f>
        <v>836401.13166541641</v>
      </c>
      <c r="BB94" s="71">
        <f t="shared" ref="BB94" si="65">BA94+BB92</f>
        <v>765105.15511642222</v>
      </c>
      <c r="BC94" s="71">
        <f t="shared" ref="BC94" si="66">BB94+BC92</f>
        <v>691313.81938821322</v>
      </c>
      <c r="BD94" s="71">
        <f t="shared" ref="BD94" si="67">BC94+BD92</f>
        <v>614939.7869095169</v>
      </c>
      <c r="BE94" s="71">
        <f t="shared" ref="BE94" si="68">BD94+BE92</f>
        <v>535892.66329406621</v>
      </c>
      <c r="BF94" s="71">
        <f t="shared" ref="BF94" si="69">BE94+BF92</f>
        <v>454078.89035207481</v>
      </c>
      <c r="BG94" s="71">
        <f t="shared" ref="BG94" si="70">BF94+BG92</f>
        <v>369401.63535711367</v>
      </c>
      <c r="BH94" s="71">
        <f t="shared" ref="BH94" si="71">BG94+BH92</f>
        <v>281760.67643732892</v>
      </c>
      <c r="BI94" s="71">
        <f t="shared" ref="BI94" si="72">BH94+BI92</f>
        <v>191052.28395535168</v>
      </c>
      <c r="BJ94" s="71">
        <f t="shared" ref="BJ94" si="73">BI94+BJ92</f>
        <v>97169.097736505268</v>
      </c>
      <c r="BK94" s="71">
        <f t="shared" ref="BK94" si="74">BJ94+BK92</f>
        <v>-7.5669959187507629E-10</v>
      </c>
      <c r="BL94" s="71"/>
      <c r="BM94" s="71"/>
      <c r="BN94" s="71"/>
      <c r="BO94" s="71"/>
      <c r="BP94" s="71"/>
      <c r="BQ94" s="71"/>
      <c r="BR94" s="71"/>
      <c r="BS94" s="71"/>
      <c r="BT94" s="71"/>
    </row>
    <row r="95" spans="1:72" ht="21">
      <c r="A95" s="43"/>
      <c r="B95" s="26" t="s">
        <v>32</v>
      </c>
      <c r="C95" s="27"/>
      <c r="D95" s="71">
        <f t="shared" si="47"/>
        <v>-97136.390430090702</v>
      </c>
      <c r="AL95" s="71">
        <f>AL91*AL76</f>
        <v>-7240.7147628792136</v>
      </c>
      <c r="AM95" s="71">
        <f t="shared" ref="AM95:BK95" si="75">AM91*AM76</f>
        <v>-6810.9441848172464</v>
      </c>
      <c r="AN95" s="71">
        <f t="shared" si="75"/>
        <v>-6406.6825179355155</v>
      </c>
      <c r="AO95" s="71">
        <f t="shared" si="75"/>
        <v>-6026.4156880213677</v>
      </c>
      <c r="AP95" s="71">
        <f t="shared" si="75"/>
        <v>-5668.7194883090642</v>
      </c>
      <c r="AQ95" s="71">
        <f t="shared" si="75"/>
        <v>-5332.2542454228824</v>
      </c>
      <c r="AR95" s="71">
        <f t="shared" si="75"/>
        <v>-5015.7598019216275</v>
      </c>
      <c r="AS95" s="71">
        <f t="shared" si="75"/>
        <v>-4718.0507966528339</v>
      </c>
      <c r="AT95" s="71">
        <f t="shared" si="75"/>
        <v>-4438.0122252401779</v>
      </c>
      <c r="AU95" s="71">
        <f t="shared" si="75"/>
        <v>-4174.5952640769256</v>
      </c>
      <c r="AV95" s="71">
        <f t="shared" si="75"/>
        <v>-3926.813342185048</v>
      </c>
      <c r="AW95" s="71">
        <f t="shared" si="75"/>
        <v>-3693.7384462280588</v>
      </c>
      <c r="AX95" s="71">
        <f t="shared" si="75"/>
        <v>-3474.4976448387342</v>
      </c>
      <c r="AY95" s="71">
        <f t="shared" si="75"/>
        <v>-3268.2698192444118</v>
      </c>
      <c r="AZ95" s="71">
        <f t="shared" si="75"/>
        <v>-3074.2825879450775</v>
      </c>
      <c r="BA95" s="71">
        <f t="shared" si="75"/>
        <v>-2891.8094139263267</v>
      </c>
      <c r="BB95" s="71">
        <f t="shared" si="75"/>
        <v>-2720.1668835728779</v>
      </c>
      <c r="BC95" s="71">
        <f t="shared" si="75"/>
        <v>-2558.7121470914099</v>
      </c>
      <c r="BD95" s="71">
        <f t="shared" si="75"/>
        <v>-2406.8405108563725</v>
      </c>
      <c r="BE95" s="71">
        <f t="shared" si="75"/>
        <v>-2263.9831726614361</v>
      </c>
      <c r="BF95" s="71">
        <f t="shared" si="75"/>
        <v>-2129.6050913944468</v>
      </c>
      <c r="BG95" s="71">
        <f t="shared" si="75"/>
        <v>-2003.2029831572261</v>
      </c>
      <c r="BH95" s="71">
        <f t="shared" si="75"/>
        <v>-1884.3034363251118</v>
      </c>
      <c r="BI95" s="71">
        <f t="shared" si="75"/>
        <v>-1772.4611384866066</v>
      </c>
      <c r="BJ95" s="71">
        <f t="shared" si="75"/>
        <v>-1667.2572086225257</v>
      </c>
      <c r="BK95" s="71">
        <f t="shared" si="75"/>
        <v>-1568.2976282781731</v>
      </c>
      <c r="BL95" s="71"/>
      <c r="BM95" s="71"/>
      <c r="BN95" s="71"/>
      <c r="BO95" s="71"/>
      <c r="BP95" s="71"/>
      <c r="BQ95" s="71"/>
      <c r="BR95" s="71"/>
      <c r="BS95" s="71"/>
      <c r="BT95" s="71"/>
    </row>
    <row r="96" spans="1:72">
      <c r="A96" s="27"/>
      <c r="B96" s="27"/>
      <c r="C96" s="27" t="s">
        <v>29</v>
      </c>
      <c r="D96" s="71">
        <f t="shared" si="47"/>
        <v>-56184.085634573756</v>
      </c>
      <c r="AL96" s="71">
        <f>AL92*AL76</f>
        <v>-2960.276958526661</v>
      </c>
      <c r="AM96" s="71">
        <f t="shared" ref="AM96:BK96" si="76">AM92*AM76</f>
        <v>-2882.0305258913504</v>
      </c>
      <c r="AN96" s="71">
        <f t="shared" si="76"/>
        <v>-2805.8523133266367</v>
      </c>
      <c r="AO96" s="71">
        <f t="shared" si="76"/>
        <v>-2731.6876533656937</v>
      </c>
      <c r="AP96" s="71">
        <f t="shared" si="76"/>
        <v>-2659.4833235194174</v>
      </c>
      <c r="AQ96" s="71">
        <f t="shared" si="76"/>
        <v>-2589.1875080825866</v>
      </c>
      <c r="AR96" s="71">
        <f t="shared" si="76"/>
        <v>-2520.7497609495595</v>
      </c>
      <c r="AS96" s="71">
        <f t="shared" si="76"/>
        <v>-2454.1209694128438</v>
      </c>
      <c r="AT96" s="71">
        <f t="shared" si="76"/>
        <v>-2389.2533189185342</v>
      </c>
      <c r="AU96" s="71">
        <f t="shared" si="76"/>
        <v>-2326.1002587533471</v>
      </c>
      <c r="AV96" s="71">
        <f t="shared" si="76"/>
        <v>-2264.6164686386169</v>
      </c>
      <c r="AW96" s="71">
        <f t="shared" si="76"/>
        <v>-2204.7578262072893</v>
      </c>
      <c r="AX96" s="71">
        <f t="shared" si="76"/>
        <v>-2146.4813753405551</v>
      </c>
      <c r="AY96" s="71">
        <f t="shared" si="76"/>
        <v>-2089.7452953414304</v>
      </c>
      <c r="AZ96" s="71">
        <f t="shared" si="76"/>
        <v>-2034.5088709231309</v>
      </c>
      <c r="BA96" s="71">
        <f t="shared" si="76"/>
        <v>-1980.7324629907259</v>
      </c>
      <c r="BB96" s="71">
        <f t="shared" si="76"/>
        <v>-1928.3774801950908</v>
      </c>
      <c r="BC96" s="71">
        <f t="shared" si="76"/>
        <v>-1877.4063512387538</v>
      </c>
      <c r="BD96" s="71">
        <f t="shared" si="76"/>
        <v>-1827.7824979137522</v>
      </c>
      <c r="BE96" s="71">
        <f t="shared" si="76"/>
        <v>-1779.4703088521624</v>
      </c>
      <c r="BF96" s="71">
        <f t="shared" si="76"/>
        <v>-1732.4351139704527</v>
      </c>
      <c r="BG96" s="71">
        <f t="shared" si="76"/>
        <v>-1686.6431595893318</v>
      </c>
      <c r="BH96" s="71">
        <f t="shared" si="76"/>
        <v>-1642.0615842112297</v>
      </c>
      <c r="BI96" s="71">
        <f t="shared" si="76"/>
        <v>-1598.6583949380331</v>
      </c>
      <c r="BJ96" s="71">
        <f t="shared" si="76"/>
        <v>-1556.4024445121479</v>
      </c>
      <c r="BK96" s="71">
        <f t="shared" si="76"/>
        <v>-1515.2634089644182</v>
      </c>
      <c r="BL96" s="71"/>
      <c r="BM96" s="71"/>
      <c r="BN96" s="71"/>
      <c r="BO96" s="71"/>
      <c r="BP96" s="71"/>
      <c r="BQ96" s="71"/>
      <c r="BR96" s="71"/>
      <c r="BS96" s="71"/>
      <c r="BT96" s="71"/>
    </row>
    <row r="97" spans="1:72">
      <c r="A97" s="27"/>
      <c r="B97" s="27"/>
      <c r="C97" s="27" t="s">
        <v>30</v>
      </c>
      <c r="D97" s="71">
        <f t="shared" si="47"/>
        <v>-40952.304795516946</v>
      </c>
      <c r="AL97" s="71">
        <f>AL93*AL76</f>
        <v>-4280.4378043525521</v>
      </c>
      <c r="AM97" s="71">
        <f t="shared" ref="AM97:BK97" si="77">AM93*AM76</f>
        <v>-3928.913658925896</v>
      </c>
      <c r="AN97" s="71">
        <f t="shared" si="77"/>
        <v>-3600.8302046088784</v>
      </c>
      <c r="AO97" s="71">
        <f t="shared" si="77"/>
        <v>-3294.7280346556731</v>
      </c>
      <c r="AP97" s="71">
        <f t="shared" si="77"/>
        <v>-3009.2361647896473</v>
      </c>
      <c r="AQ97" s="71">
        <f t="shared" si="77"/>
        <v>-2743.0667373402957</v>
      </c>
      <c r="AR97" s="71">
        <f t="shared" si="77"/>
        <v>-2495.0100409720671</v>
      </c>
      <c r="AS97" s="71">
        <f t="shared" si="77"/>
        <v>-2263.9298272399901</v>
      </c>
      <c r="AT97" s="71">
        <f t="shared" si="77"/>
        <v>-2048.7589063216442</v>
      </c>
      <c r="AU97" s="71">
        <f t="shared" si="77"/>
        <v>-1848.4950053235782</v>
      </c>
      <c r="AV97" s="71">
        <f t="shared" si="77"/>
        <v>-1662.1968735464313</v>
      </c>
      <c r="AW97" s="71">
        <f t="shared" si="77"/>
        <v>-1488.9806200207693</v>
      </c>
      <c r="AX97" s="71">
        <f t="shared" si="77"/>
        <v>-1328.0162694981789</v>
      </c>
      <c r="AY97" s="71">
        <f t="shared" si="77"/>
        <v>-1178.5245239029814</v>
      </c>
      <c r="AZ97" s="71">
        <f t="shared" si="77"/>
        <v>-1039.7737170219466</v>
      </c>
      <c r="BA97" s="71">
        <f t="shared" si="77"/>
        <v>-911.07695093560062</v>
      </c>
      <c r="BB97" s="71">
        <f t="shared" si="77"/>
        <v>-791.7894033777867</v>
      </c>
      <c r="BC97" s="71">
        <f t="shared" si="77"/>
        <v>-681.30579585265605</v>
      </c>
      <c r="BD97" s="71">
        <f t="shared" si="77"/>
        <v>-579.05801294262039</v>
      </c>
      <c r="BE97" s="71">
        <f t="shared" si="77"/>
        <v>-484.51286380927377</v>
      </c>
      <c r="BF97" s="71">
        <f t="shared" si="77"/>
        <v>-397.16997742399417</v>
      </c>
      <c r="BG97" s="71">
        <f t="shared" si="77"/>
        <v>-316.55982356789428</v>
      </c>
      <c r="BH97" s="71">
        <f t="shared" si="77"/>
        <v>-242.24185211388175</v>
      </c>
      <c r="BI97" s="71">
        <f t="shared" si="77"/>
        <v>-173.80274354857363</v>
      </c>
      <c r="BJ97" s="71">
        <f t="shared" si="77"/>
        <v>-110.85476411037772</v>
      </c>
      <c r="BK97" s="71">
        <f t="shared" si="77"/>
        <v>-53.03421931375464</v>
      </c>
      <c r="BL97" s="71"/>
      <c r="BM97" s="71"/>
      <c r="BN97" s="71"/>
      <c r="BO97" s="71"/>
      <c r="BP97" s="71"/>
      <c r="BQ97" s="71"/>
      <c r="BR97" s="71"/>
      <c r="BS97" s="71"/>
      <c r="BT97" s="71"/>
    </row>
    <row r="102" spans="1:72" s="157" customFormat="1" ht="21">
      <c r="A102" s="158" t="s">
        <v>172</v>
      </c>
    </row>
    <row r="104" spans="1:72" ht="21">
      <c r="A104" s="347" t="s">
        <v>1</v>
      </c>
      <c r="B104" s="348"/>
      <c r="C104" s="348"/>
      <c r="D104" s="349"/>
      <c r="F104" s="321" t="s">
        <v>2</v>
      </c>
      <c r="G104" s="322"/>
    </row>
    <row r="105" spans="1:72">
      <c r="A105" s="55" t="s">
        <v>3</v>
      </c>
      <c r="B105" s="22"/>
      <c r="C105" s="22"/>
      <c r="D105" s="131">
        <f>Data!D37</f>
        <v>1977</v>
      </c>
      <c r="F105" s="6" t="s">
        <v>4</v>
      </c>
      <c r="G105" s="7">
        <f>D111</f>
        <v>6085687</v>
      </c>
    </row>
    <row r="106" spans="1:72">
      <c r="A106" s="4" t="s">
        <v>5</v>
      </c>
      <c r="B106" s="126"/>
      <c r="C106" s="126"/>
      <c r="D106" s="8">
        <f>Data!F37</f>
        <v>0.06</v>
      </c>
      <c r="F106" s="6" t="s">
        <v>6</v>
      </c>
      <c r="G106" s="9">
        <f>D131*-1</f>
        <v>16178564.206099512</v>
      </c>
    </row>
    <row r="107" spans="1:72">
      <c r="A107" s="4" t="s">
        <v>7</v>
      </c>
      <c r="B107" s="126"/>
      <c r="C107" s="126"/>
      <c r="D107" s="10">
        <f>Data!G37</f>
        <v>5</v>
      </c>
      <c r="F107" s="11" t="s">
        <v>8</v>
      </c>
      <c r="G107" s="12">
        <f>D135*-1</f>
        <v>3175529.7184130959</v>
      </c>
    </row>
    <row r="108" spans="1:72">
      <c r="A108" s="4" t="s">
        <v>9</v>
      </c>
      <c r="B108" s="126"/>
      <c r="C108" s="126"/>
      <c r="D108" s="10">
        <f>Data!E37</f>
        <v>25</v>
      </c>
    </row>
    <row r="109" spans="1:72">
      <c r="A109" s="4" t="s">
        <v>10</v>
      </c>
      <c r="B109" s="126"/>
      <c r="C109" s="126"/>
      <c r="D109" s="10">
        <v>2</v>
      </c>
      <c r="F109" s="321" t="s">
        <v>11</v>
      </c>
      <c r="G109" s="322"/>
      <c r="I109" s="120" t="s">
        <v>111</v>
      </c>
    </row>
    <row r="110" spans="1:72">
      <c r="A110" s="4" t="s">
        <v>12</v>
      </c>
      <c r="B110" s="126"/>
      <c r="C110" s="126"/>
      <c r="D110" s="10">
        <f>(D108-D107)*2</f>
        <v>40</v>
      </c>
      <c r="F110" s="6" t="s">
        <v>4</v>
      </c>
      <c r="G110" s="7">
        <f>D111</f>
        <v>6085687</v>
      </c>
      <c r="I110" s="58" t="s">
        <v>110</v>
      </c>
    </row>
    <row r="111" spans="1:72">
      <c r="A111" s="4" t="s">
        <v>164</v>
      </c>
      <c r="B111" s="126"/>
      <c r="C111" s="126"/>
      <c r="D111" s="67">
        <f>Data!B37</f>
        <v>6085687</v>
      </c>
      <c r="F111" s="6" t="s">
        <v>14</v>
      </c>
      <c r="G111" s="9">
        <f>D121</f>
        <v>3307993</v>
      </c>
      <c r="I111" s="179" t="s">
        <v>175</v>
      </c>
      <c r="J111" s="180" t="s">
        <v>91</v>
      </c>
      <c r="K111" s="181" t="s">
        <v>45</v>
      </c>
    </row>
    <row r="112" spans="1:72">
      <c r="A112" s="13" t="s">
        <v>15</v>
      </c>
      <c r="B112" s="14"/>
      <c r="C112" s="14"/>
      <c r="D112" s="15">
        <v>0.1275</v>
      </c>
      <c r="F112" s="6" t="s">
        <v>6</v>
      </c>
      <c r="G112" s="9">
        <f>D142*-1</f>
        <v>5092126.9527344266</v>
      </c>
      <c r="I112" s="182" t="s">
        <v>177</v>
      </c>
      <c r="J112" s="183">
        <v>1.2148170459575713</v>
      </c>
      <c r="K112" s="184">
        <v>0.70864327680858341</v>
      </c>
    </row>
    <row r="113" spans="1:95">
      <c r="F113" s="11" t="s">
        <v>8</v>
      </c>
      <c r="G113" s="12">
        <f>D146*-1</f>
        <v>26697.311883916456</v>
      </c>
      <c r="I113" s="185" t="s">
        <v>178</v>
      </c>
      <c r="J113" s="186">
        <v>0.78352616646845819</v>
      </c>
      <c r="K113" s="187">
        <v>0.78352616646845819</v>
      </c>
    </row>
    <row r="114" spans="1:95" ht="20.399999999999999">
      <c r="A114" s="354" t="s">
        <v>16</v>
      </c>
      <c r="B114" s="355"/>
      <c r="C114" s="355"/>
      <c r="D114" s="356"/>
      <c r="F114" s="16"/>
      <c r="I114" s="182" t="s">
        <v>179</v>
      </c>
      <c r="J114" s="183">
        <v>0.29530277169776048</v>
      </c>
      <c r="K114" s="184">
        <v>0.41552065486748163</v>
      </c>
    </row>
    <row r="115" spans="1:95">
      <c r="A115" s="132" t="s">
        <v>17</v>
      </c>
      <c r="B115" s="133"/>
      <c r="C115" s="133"/>
      <c r="D115" s="134">
        <f>Data!H37</f>
        <v>2009</v>
      </c>
      <c r="F115" s="323" t="s">
        <v>109</v>
      </c>
      <c r="G115" s="324"/>
      <c r="I115" s="185" t="s">
        <v>180</v>
      </c>
      <c r="J115" s="186">
        <v>2.4695076595959931E-2</v>
      </c>
      <c r="K115" s="187">
        <v>2.4695076595959931E-2</v>
      </c>
    </row>
    <row r="116" spans="1:95">
      <c r="A116" s="135" t="s">
        <v>5</v>
      </c>
      <c r="B116" s="136"/>
      <c r="C116" s="136"/>
      <c r="D116" s="145">
        <f>Data!N37</f>
        <v>3.5000000000000003E-2</v>
      </c>
      <c r="F116" s="121" t="s">
        <v>44</v>
      </c>
      <c r="G116" s="118" t="s">
        <v>45</v>
      </c>
      <c r="I116" s="182" t="s">
        <v>181</v>
      </c>
      <c r="J116" s="183">
        <v>0.98780306383839722</v>
      </c>
      <c r="K116" s="184">
        <v>0.64207199149495819</v>
      </c>
    </row>
    <row r="117" spans="1:95">
      <c r="A117" s="135" t="s">
        <v>7</v>
      </c>
      <c r="B117" s="136"/>
      <c r="C117" s="136"/>
      <c r="D117" s="137">
        <f>Data!O37</f>
        <v>37</v>
      </c>
      <c r="F117" s="119">
        <f>(1-((D106/D109)/D122))*(1-(((1/((1+D122)^(D109*D107)))-(1/((1+D122)^(D109*D108))))/(D122*(D109*D108-D109*D107))))</f>
        <v>-0.10864334466889378</v>
      </c>
      <c r="G117" s="122">
        <f>(1-((D116/D119)/D122))*(1-(((1/((1+D122)^(D119*D117)))-(1/((1+D122)^(D119*D118))))/(D122*(D119*D118-D119*D117))))+((D111-D121)/D111)</f>
        <v>0.71274139225887323</v>
      </c>
      <c r="I117" s="185" t="s">
        <v>182</v>
      </c>
      <c r="J117" s="188">
        <v>-0.10864334466889378</v>
      </c>
      <c r="K117" s="189">
        <v>0.12436473257865784</v>
      </c>
    </row>
    <row r="118" spans="1:95">
      <c r="A118" s="135" t="s">
        <v>9</v>
      </c>
      <c r="B118" s="136"/>
      <c r="C118" s="136"/>
      <c r="D118" s="137">
        <f>Data!M37</f>
        <v>50</v>
      </c>
    </row>
    <row r="119" spans="1:95">
      <c r="A119" s="135" t="s">
        <v>10</v>
      </c>
      <c r="B119" s="136"/>
      <c r="C119" s="136"/>
      <c r="D119" s="137">
        <v>2</v>
      </c>
    </row>
    <row r="120" spans="1:95">
      <c r="A120" s="135" t="s">
        <v>12</v>
      </c>
      <c r="B120" s="136"/>
      <c r="C120" s="136"/>
      <c r="D120" s="137">
        <f>(D118-D117)*D119</f>
        <v>26</v>
      </c>
    </row>
    <row r="121" spans="1:95">
      <c r="A121" s="135" t="s">
        <v>165</v>
      </c>
      <c r="B121" s="136"/>
      <c r="C121" s="136"/>
      <c r="D121" s="177">
        <f>Data!L37</f>
        <v>3307993</v>
      </c>
    </row>
    <row r="122" spans="1:95">
      <c r="A122" s="196" t="s">
        <v>187</v>
      </c>
      <c r="B122" s="14"/>
      <c r="C122" s="14"/>
      <c r="D122" s="195">
        <f>(1.05^0.5)-1</f>
        <v>2.4695076595959931E-2</v>
      </c>
    </row>
    <row r="124" spans="1:95" ht="46.8">
      <c r="A124" s="302" t="s">
        <v>43</v>
      </c>
      <c r="E124" s="53" t="s">
        <v>25</v>
      </c>
      <c r="AS124" s="21" t="s">
        <v>21</v>
      </c>
      <c r="BH124" s="21" t="s">
        <v>89</v>
      </c>
      <c r="BP124" s="51"/>
      <c r="BR124" s="21" t="s">
        <v>40</v>
      </c>
      <c r="CO124" s="51"/>
      <c r="CQ124" s="21" t="s">
        <v>149</v>
      </c>
    </row>
    <row r="125" spans="1:95">
      <c r="A125" s="2" t="s">
        <v>23</v>
      </c>
      <c r="E125" s="139" t="s">
        <v>216</v>
      </c>
      <c r="F125" s="24">
        <v>30132</v>
      </c>
      <c r="G125" s="24">
        <v>30316</v>
      </c>
      <c r="H125" s="24">
        <v>30497</v>
      </c>
      <c r="I125" s="24">
        <v>30681</v>
      </c>
      <c r="J125" s="24">
        <v>30863</v>
      </c>
      <c r="K125" s="24">
        <v>31047</v>
      </c>
      <c r="L125" s="24">
        <v>31228</v>
      </c>
      <c r="M125" s="24">
        <v>31412</v>
      </c>
      <c r="N125" s="24">
        <v>31593</v>
      </c>
      <c r="O125" s="24">
        <v>31777</v>
      </c>
      <c r="P125" s="24">
        <v>31958</v>
      </c>
      <c r="Q125" s="24">
        <v>32142</v>
      </c>
      <c r="R125" s="24">
        <v>32324</v>
      </c>
      <c r="S125" s="24">
        <v>32508</v>
      </c>
      <c r="T125" s="24">
        <v>32689</v>
      </c>
      <c r="U125" s="24">
        <v>32873</v>
      </c>
      <c r="V125" s="24">
        <v>33054</v>
      </c>
      <c r="W125" s="24">
        <v>33238</v>
      </c>
      <c r="X125" s="24">
        <v>33419</v>
      </c>
      <c r="Y125" s="24">
        <v>33603</v>
      </c>
      <c r="Z125" s="24">
        <v>33785</v>
      </c>
      <c r="AA125" s="24">
        <v>33969</v>
      </c>
      <c r="AB125" s="24">
        <v>34150</v>
      </c>
      <c r="AC125" s="24">
        <v>34334</v>
      </c>
      <c r="AD125" s="24">
        <v>34515</v>
      </c>
      <c r="AE125" s="24">
        <v>34699</v>
      </c>
      <c r="AF125" s="24">
        <v>34880</v>
      </c>
      <c r="AG125" s="24">
        <v>35064</v>
      </c>
      <c r="AH125" s="24">
        <v>35246</v>
      </c>
      <c r="AI125" s="24">
        <v>35430</v>
      </c>
      <c r="AJ125" s="24">
        <v>35611</v>
      </c>
      <c r="AK125" s="24">
        <v>35795</v>
      </c>
      <c r="AL125" s="24">
        <v>35976</v>
      </c>
      <c r="AM125" s="24">
        <v>36160</v>
      </c>
      <c r="AN125" s="24">
        <v>36341</v>
      </c>
      <c r="AO125" s="24">
        <v>36525</v>
      </c>
      <c r="AP125" s="24">
        <v>36707</v>
      </c>
      <c r="AQ125" s="24">
        <v>36891</v>
      </c>
      <c r="AR125" s="24">
        <v>37072</v>
      </c>
      <c r="AS125" s="24">
        <v>37256</v>
      </c>
      <c r="AT125" s="24">
        <v>37437</v>
      </c>
      <c r="AU125" s="24">
        <v>37621</v>
      </c>
      <c r="AV125" s="24">
        <v>37802</v>
      </c>
      <c r="AW125" s="24">
        <v>37986</v>
      </c>
      <c r="AX125" s="24">
        <v>38168</v>
      </c>
      <c r="AY125" s="24">
        <v>38352</v>
      </c>
      <c r="AZ125" s="24">
        <v>38533</v>
      </c>
      <c r="BA125" s="24">
        <v>38717</v>
      </c>
      <c r="BB125" s="24">
        <v>38898</v>
      </c>
      <c r="BC125" s="24">
        <v>39082</v>
      </c>
      <c r="BD125" s="24">
        <v>39263</v>
      </c>
      <c r="BE125" s="24">
        <v>39447</v>
      </c>
      <c r="BF125" s="24">
        <v>39629</v>
      </c>
      <c r="BG125" s="24">
        <v>39813</v>
      </c>
      <c r="BH125" s="24">
        <v>39994</v>
      </c>
      <c r="BI125" s="24">
        <v>40178</v>
      </c>
      <c r="BJ125" s="24">
        <v>40359</v>
      </c>
      <c r="BK125" s="24">
        <v>40543</v>
      </c>
      <c r="BL125" s="24">
        <v>40724</v>
      </c>
      <c r="BM125" s="24">
        <v>40908</v>
      </c>
      <c r="BN125" s="24">
        <v>41090</v>
      </c>
      <c r="BO125" s="24">
        <v>41274</v>
      </c>
      <c r="BP125" s="24">
        <v>41455</v>
      </c>
      <c r="BQ125" s="24">
        <v>41639</v>
      </c>
      <c r="BR125" s="24">
        <v>41820</v>
      </c>
      <c r="BS125" s="24">
        <v>42004</v>
      </c>
      <c r="BT125" s="24">
        <v>42185</v>
      </c>
      <c r="BU125" s="24">
        <v>42369</v>
      </c>
      <c r="BV125" s="24">
        <v>42551</v>
      </c>
      <c r="BW125" s="24">
        <v>42735</v>
      </c>
      <c r="BX125" s="24">
        <v>42916</v>
      </c>
      <c r="BY125" s="24">
        <v>43100</v>
      </c>
      <c r="BZ125" s="24">
        <v>43281</v>
      </c>
      <c r="CA125" s="24">
        <v>43465</v>
      </c>
      <c r="CB125" s="24">
        <v>43646</v>
      </c>
      <c r="CC125" s="24">
        <v>43830</v>
      </c>
      <c r="CD125" s="24">
        <v>44012</v>
      </c>
      <c r="CE125" s="24">
        <v>44196</v>
      </c>
      <c r="CF125" s="24">
        <v>44377</v>
      </c>
      <c r="CG125" s="24">
        <v>44561</v>
      </c>
      <c r="CH125" s="24">
        <v>44742</v>
      </c>
      <c r="CI125" s="24">
        <v>44926</v>
      </c>
      <c r="CJ125" s="24">
        <v>45107</v>
      </c>
      <c r="CK125" s="24">
        <v>45291</v>
      </c>
      <c r="CL125" s="24">
        <v>45473</v>
      </c>
      <c r="CM125" s="24">
        <v>45657</v>
      </c>
      <c r="CN125" s="24">
        <v>45838</v>
      </c>
      <c r="CO125" s="24">
        <v>46022</v>
      </c>
      <c r="CP125" s="24">
        <v>46203</v>
      </c>
      <c r="CQ125" s="24">
        <v>46387</v>
      </c>
    </row>
    <row r="126" spans="1:95">
      <c r="A126" s="2" t="s">
        <v>38</v>
      </c>
      <c r="F126">
        <v>11</v>
      </c>
      <c r="G126">
        <v>12</v>
      </c>
      <c r="H126">
        <v>13</v>
      </c>
      <c r="I126">
        <v>14</v>
      </c>
      <c r="J126">
        <v>15</v>
      </c>
      <c r="K126">
        <v>16</v>
      </c>
      <c r="L126">
        <v>17</v>
      </c>
      <c r="M126">
        <v>18</v>
      </c>
      <c r="N126">
        <v>19</v>
      </c>
      <c r="O126">
        <v>20</v>
      </c>
      <c r="P126">
        <v>21</v>
      </c>
      <c r="Q126">
        <v>22</v>
      </c>
      <c r="R126">
        <v>23</v>
      </c>
      <c r="S126">
        <v>24</v>
      </c>
      <c r="T126">
        <v>25</v>
      </c>
      <c r="U126">
        <v>26</v>
      </c>
      <c r="V126">
        <v>27</v>
      </c>
      <c r="W126">
        <v>28</v>
      </c>
      <c r="X126">
        <v>29</v>
      </c>
      <c r="Y126">
        <v>30</v>
      </c>
      <c r="Z126">
        <v>31</v>
      </c>
      <c r="AA126">
        <v>32</v>
      </c>
      <c r="AB126">
        <v>33</v>
      </c>
      <c r="AC126">
        <v>34</v>
      </c>
      <c r="AD126">
        <v>35</v>
      </c>
      <c r="AE126">
        <v>36</v>
      </c>
      <c r="AF126">
        <v>37</v>
      </c>
      <c r="AG126">
        <v>38</v>
      </c>
      <c r="AH126">
        <v>39</v>
      </c>
      <c r="AI126">
        <v>40</v>
      </c>
      <c r="AJ126">
        <v>41</v>
      </c>
      <c r="AK126">
        <v>42</v>
      </c>
      <c r="AL126">
        <v>43</v>
      </c>
      <c r="AM126">
        <v>44</v>
      </c>
      <c r="AN126">
        <v>45</v>
      </c>
      <c r="AO126">
        <v>46</v>
      </c>
      <c r="AP126">
        <v>47</v>
      </c>
      <c r="AQ126">
        <v>48</v>
      </c>
      <c r="AR126">
        <v>49</v>
      </c>
      <c r="AS126">
        <v>50</v>
      </c>
      <c r="AT126">
        <v>51</v>
      </c>
      <c r="AU126">
        <v>52</v>
      </c>
      <c r="AV126">
        <v>53</v>
      </c>
      <c r="AW126">
        <v>54</v>
      </c>
      <c r="AX126">
        <v>55</v>
      </c>
      <c r="AY126">
        <v>56</v>
      </c>
      <c r="AZ126">
        <v>57</v>
      </c>
      <c r="BA126">
        <v>58</v>
      </c>
      <c r="BB126">
        <v>59</v>
      </c>
      <c r="BC126">
        <v>60</v>
      </c>
      <c r="BD126">
        <v>61</v>
      </c>
      <c r="BE126">
        <v>62</v>
      </c>
      <c r="BF126">
        <v>63</v>
      </c>
      <c r="BG126">
        <v>64</v>
      </c>
      <c r="BH126">
        <v>65</v>
      </c>
      <c r="BI126">
        <v>66</v>
      </c>
      <c r="BJ126">
        <v>67</v>
      </c>
      <c r="BK126">
        <v>68</v>
      </c>
      <c r="BL126">
        <v>69</v>
      </c>
      <c r="BM126">
        <v>70</v>
      </c>
      <c r="BN126">
        <v>71</v>
      </c>
      <c r="BO126">
        <v>72</v>
      </c>
      <c r="BP126">
        <v>73</v>
      </c>
      <c r="BQ126">
        <v>74</v>
      </c>
      <c r="BR126">
        <v>75</v>
      </c>
      <c r="BS126">
        <v>76</v>
      </c>
      <c r="BT126">
        <v>77</v>
      </c>
      <c r="BU126">
        <v>78</v>
      </c>
      <c r="BV126">
        <v>79</v>
      </c>
      <c r="BW126">
        <v>80</v>
      </c>
      <c r="BX126">
        <v>81</v>
      </c>
      <c r="BY126">
        <v>82</v>
      </c>
      <c r="BZ126">
        <v>83</v>
      </c>
      <c r="CA126">
        <v>84</v>
      </c>
      <c r="CB126">
        <v>85</v>
      </c>
      <c r="CC126">
        <v>86</v>
      </c>
      <c r="CD126">
        <v>87</v>
      </c>
      <c r="CE126">
        <v>88</v>
      </c>
      <c r="CF126">
        <v>89</v>
      </c>
      <c r="CG126">
        <v>90</v>
      </c>
      <c r="CH126">
        <v>91</v>
      </c>
      <c r="CI126">
        <v>92</v>
      </c>
      <c r="CJ126">
        <v>93</v>
      </c>
      <c r="CK126">
        <v>94</v>
      </c>
      <c r="CL126">
        <v>95</v>
      </c>
      <c r="CM126">
        <v>96</v>
      </c>
      <c r="CN126">
        <v>97</v>
      </c>
      <c r="CO126">
        <v>98</v>
      </c>
      <c r="CP126">
        <v>99</v>
      </c>
      <c r="CQ126">
        <v>100</v>
      </c>
    </row>
    <row r="127" spans="1:95">
      <c r="A127" s="2" t="s">
        <v>26</v>
      </c>
      <c r="F127" s="138">
        <f>1/((1+($D$11/$D$8))^(F126))</f>
        <v>0.51013450566574603</v>
      </c>
      <c r="G127" s="138">
        <f>1/((1+($D$11/$D$8))^(G126))</f>
        <v>0.47985561627856849</v>
      </c>
      <c r="H127" s="138">
        <f t="shared" ref="H127:BS127" si="78">1/((1+($D$11/$D$8))^(H126))</f>
        <v>0.45137392181221753</v>
      </c>
      <c r="I127" s="138">
        <f t="shared" si="78"/>
        <v>0.42458275027016984</v>
      </c>
      <c r="J127" s="138">
        <f t="shared" si="78"/>
        <v>0.39938176114210311</v>
      </c>
      <c r="K127" s="138">
        <f t="shared" si="78"/>
        <v>0.37567656960032281</v>
      </c>
      <c r="L127" s="138">
        <f t="shared" si="78"/>
        <v>0.35337839300190277</v>
      </c>
      <c r="M127" s="138">
        <f t="shared" si="78"/>
        <v>0.33240371837259219</v>
      </c>
      <c r="N127" s="138">
        <f t="shared" si="78"/>
        <v>0.31267398962712084</v>
      </c>
      <c r="O127" s="138">
        <f t="shared" si="78"/>
        <v>0.29411531335445479</v>
      </c>
      <c r="P127" s="138">
        <f t="shared" si="78"/>
        <v>0.27665818206608483</v>
      </c>
      <c r="Q127" s="138">
        <f t="shared" si="78"/>
        <v>0.26023721387083515</v>
      </c>
      <c r="R127" s="138">
        <f t="shared" si="78"/>
        <v>0.24479090760119948</v>
      </c>
      <c r="S127" s="138">
        <f t="shared" si="78"/>
        <v>0.23026141247408474</v>
      </c>
      <c r="T127" s="138">
        <f t="shared" si="78"/>
        <v>0.21659431142327601</v>
      </c>
      <c r="U127" s="138">
        <f t="shared" si="78"/>
        <v>0.20373841729214187</v>
      </c>
      <c r="V127" s="138">
        <f t="shared" si="78"/>
        <v>0.19164558112326391</v>
      </c>
      <c r="W127" s="138">
        <f t="shared" si="78"/>
        <v>0.18027051182698139</v>
      </c>
      <c r="X127" s="138">
        <f t="shared" si="78"/>
        <v>0.16957060655345818</v>
      </c>
      <c r="Y127" s="138">
        <f t="shared" si="78"/>
        <v>0.15950579113296792</v>
      </c>
      <c r="Z127" s="138">
        <f t="shared" si="78"/>
        <v>0.15003836998680078</v>
      </c>
      <c r="AA127" s="138">
        <f t="shared" si="78"/>
        <v>0.14113288494666618</v>
      </c>
      <c r="AB127" s="138">
        <f t="shared" si="78"/>
        <v>0.13275598245382955</v>
      </c>
      <c r="AC127" s="138">
        <f t="shared" si="78"/>
        <v>0.12487628864060722</v>
      </c>
      <c r="AD127" s="138">
        <f t="shared" si="78"/>
        <v>0.11746429182636368</v>
      </c>
      <c r="AE127" s="138">
        <f t="shared" si="78"/>
        <v>0.11049223198792557</v>
      </c>
      <c r="AF127" s="138">
        <f t="shared" si="78"/>
        <v>0.10393399679044829</v>
      </c>
      <c r="AG127" s="138">
        <f t="shared" si="78"/>
        <v>9.7765023789340905E-2</v>
      </c>
      <c r="AH127" s="138">
        <f t="shared" si="78"/>
        <v>9.1962208436968201E-2</v>
      </c>
      <c r="AI127" s="138">
        <f t="shared" si="78"/>
        <v>8.6503817549589135E-2</v>
      </c>
      <c r="AJ127" s="138">
        <f t="shared" si="78"/>
        <v>8.1369407910440353E-2</v>
      </c>
      <c r="AK127" s="138">
        <f t="shared" si="78"/>
        <v>7.653974970411094E-2</v>
      </c>
      <c r="AL127" s="138">
        <f t="shared" si="78"/>
        <v>7.1996754495448165E-2</v>
      </c>
      <c r="AM127" s="138">
        <f t="shared" si="78"/>
        <v>6.7723407483254797E-2</v>
      </c>
      <c r="AN127" s="138">
        <f t="shared" si="78"/>
        <v>6.3703703775049192E-2</v>
      </c>
      <c r="AO127" s="138">
        <f t="shared" si="78"/>
        <v>5.992258844421898E-2</v>
      </c>
      <c r="AP127" s="138">
        <f t="shared" si="78"/>
        <v>5.6365900145065345E-2</v>
      </c>
      <c r="AQ127" s="138">
        <f t="shared" si="78"/>
        <v>5.3020318074560591E-2</v>
      </c>
      <c r="AR127" s="138">
        <f t="shared" si="78"/>
        <v>4.9873312082175325E-2</v>
      </c>
      <c r="AS127" s="138">
        <f t="shared" si="78"/>
        <v>4.6913095740923082E-2</v>
      </c>
      <c r="AT127" s="138">
        <f t="shared" si="78"/>
        <v>4.412858220385954E-2</v>
      </c>
      <c r="AU127" s="138">
        <f t="shared" si="78"/>
        <v>4.1509342680706947E-2</v>
      </c>
      <c r="AV127" s="138">
        <f t="shared" si="78"/>
        <v>3.9045567379086571E-2</v>
      </c>
      <c r="AW127" s="138">
        <f t="shared" si="78"/>
        <v>3.6728028764073543E-2</v>
      </c>
      <c r="AX127" s="138">
        <f t="shared" si="78"/>
        <v>3.4548046998470076E-2</v>
      </c>
      <c r="AY127" s="138">
        <f t="shared" si="78"/>
        <v>3.2497457434361846E-2</v>
      </c>
      <c r="AZ127" s="138">
        <f t="shared" si="78"/>
        <v>3.05685800342036E-2</v>
      </c>
      <c r="BA127" s="138">
        <f t="shared" si="78"/>
        <v>2.8754190606907724E-2</v>
      </c>
      <c r="BB127" s="138">
        <f t="shared" si="78"/>
        <v>2.7047493751206585E-2</v>
      </c>
      <c r="BC127" s="138">
        <f t="shared" si="78"/>
        <v>2.5442097404953991E-2</v>
      </c>
      <c r="BD127" s="138">
        <f t="shared" si="78"/>
        <v>2.3931988905045609E-2</v>
      </c>
      <c r="BE127" s="138">
        <f t="shared" si="78"/>
        <v>2.2511512468296128E-2</v>
      </c>
      <c r="BF127" s="138">
        <f t="shared" si="78"/>
        <v>2.117534800893249E-2</v>
      </c>
      <c r="BG127" s="138">
        <f t="shared" si="78"/>
        <v>1.9918491213368913E-2</v>
      </c>
      <c r="BH127" s="138">
        <f t="shared" si="78"/>
        <v>1.873623479763796E-2</v>
      </c>
      <c r="BI127" s="138">
        <f t="shared" si="78"/>
        <v>1.7624150877281496E-2</v>
      </c>
      <c r="BJ127" s="138">
        <f t="shared" si="78"/>
        <v>1.6578074383671808E-2</v>
      </c>
      <c r="BK127" s="138">
        <f t="shared" si="78"/>
        <v>1.5594087464652252E-2</v>
      </c>
      <c r="BL127" s="138">
        <f t="shared" si="78"/>
        <v>1.4668504811073511E-2</v>
      </c>
      <c r="BM127" s="138">
        <f t="shared" si="78"/>
        <v>1.379785985426913E-2</v>
      </c>
      <c r="BN127" s="138">
        <f t="shared" si="78"/>
        <v>1.2978891782775967E-2</v>
      </c>
      <c r="BO127" s="138">
        <f t="shared" si="78"/>
        <v>1.2208533329673565E-2</v>
      </c>
      <c r="BP127" s="138">
        <f t="shared" si="78"/>
        <v>1.1483899284802528E-2</v>
      </c>
      <c r="BQ127" s="138">
        <f t="shared" si="78"/>
        <v>1.0802275688836916E-2</v>
      </c>
      <c r="BR127" s="138">
        <f t="shared" si="78"/>
        <v>1.0161109668739458E-2</v>
      </c>
      <c r="BS127" s="138">
        <f t="shared" si="78"/>
        <v>9.557999876530391E-3</v>
      </c>
      <c r="BT127" s="138">
        <f t="shared" ref="BT127:CQ127" si="79">1/((1+($D$11/$D$8))^(BT126))</f>
        <v>8.9906874955605221E-3</v>
      </c>
      <c r="BU127" s="138">
        <f t="shared" si="79"/>
        <v>8.4570477806043855E-3</v>
      </c>
      <c r="BV127" s="138">
        <f t="shared" si="79"/>
        <v>7.9550821000887832E-3</v>
      </c>
      <c r="BW127" s="138">
        <f t="shared" si="79"/>
        <v>7.4829104506526061E-3</v>
      </c>
      <c r="BX127" s="138">
        <f t="shared" si="79"/>
        <v>7.038764416002828E-3</v>
      </c>
      <c r="BY127" s="138">
        <f t="shared" si="79"/>
        <v>6.6209805436956331E-3</v>
      </c>
      <c r="BZ127" s="138">
        <f t="shared" si="79"/>
        <v>6.2279941150368097E-3</v>
      </c>
      <c r="CA127" s="138">
        <f t="shared" si="79"/>
        <v>5.8583332847679534E-3</v>
      </c>
      <c r="CB127" s="138">
        <f t="shared" si="79"/>
        <v>5.5106135685899279E-3</v>
      </c>
      <c r="CC127" s="138">
        <f t="shared" si="79"/>
        <v>5.1835326578778375E-3</v>
      </c>
      <c r="CD127" s="138">
        <f t="shared" si="79"/>
        <v>4.8758655421670934E-3</v>
      </c>
      <c r="CE127" s="138">
        <f t="shared" si="79"/>
        <v>4.586459921142972E-3</v>
      </c>
      <c r="CF127" s="138">
        <f t="shared" si="79"/>
        <v>4.3142318889502138E-3</v>
      </c>
      <c r="CG127" s="138">
        <f t="shared" si="79"/>
        <v>4.0581618746592177E-3</v>
      </c>
      <c r="CH127" s="138">
        <f t="shared" si="79"/>
        <v>3.8172908236847112E-3</v>
      </c>
      <c r="CI127" s="138">
        <f t="shared" si="79"/>
        <v>3.5907166058552465E-3</v>
      </c>
      <c r="CJ127" s="138">
        <f t="shared" si="79"/>
        <v>3.377590636680694E-3</v>
      </c>
      <c r="CK127" s="138">
        <f t="shared" si="79"/>
        <v>3.1771146991634788E-3</v>
      </c>
      <c r="CL127" s="138">
        <f t="shared" si="79"/>
        <v>2.9885379542502859E-3</v>
      </c>
      <c r="CM127" s="138">
        <f t="shared" si="79"/>
        <v>2.8111541287275761E-3</v>
      </c>
      <c r="CN127" s="138">
        <f t="shared" si="79"/>
        <v>2.6442988700287615E-3</v>
      </c>
      <c r="CO127" s="138">
        <f t="shared" si="79"/>
        <v>2.4873472580460554E-3</v>
      </c>
      <c r="CP127" s="138">
        <f t="shared" si="79"/>
        <v>2.339711464628027E-3</v>
      </c>
      <c r="CQ127" s="138">
        <f t="shared" si="79"/>
        <v>2.2008385519970155E-3</v>
      </c>
    </row>
    <row r="129" spans="1:95" ht="21">
      <c r="A129" s="29" t="s">
        <v>27</v>
      </c>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row>
    <row r="130" spans="1:95">
      <c r="A130" s="2" t="s">
        <v>37</v>
      </c>
      <c r="F130">
        <v>1</v>
      </c>
      <c r="G130">
        <v>2</v>
      </c>
      <c r="H130">
        <v>3</v>
      </c>
      <c r="I130">
        <v>4</v>
      </c>
      <c r="J130">
        <v>5</v>
      </c>
      <c r="K130">
        <v>6</v>
      </c>
      <c r="L130">
        <v>7</v>
      </c>
      <c r="M130">
        <v>8</v>
      </c>
      <c r="N130">
        <v>9</v>
      </c>
      <c r="O130">
        <v>10</v>
      </c>
      <c r="P130">
        <v>11</v>
      </c>
      <c r="Q130">
        <v>12</v>
      </c>
      <c r="R130">
        <v>13</v>
      </c>
      <c r="S130">
        <v>14</v>
      </c>
      <c r="T130">
        <v>15</v>
      </c>
      <c r="U130">
        <v>16</v>
      </c>
      <c r="V130">
        <v>17</v>
      </c>
      <c r="W130">
        <v>18</v>
      </c>
      <c r="X130">
        <v>19</v>
      </c>
      <c r="Y130">
        <v>20</v>
      </c>
      <c r="Z130">
        <v>21</v>
      </c>
      <c r="AA130">
        <v>22</v>
      </c>
      <c r="AB130">
        <v>23</v>
      </c>
      <c r="AC130">
        <v>24</v>
      </c>
      <c r="AD130">
        <v>25</v>
      </c>
      <c r="AE130">
        <v>26</v>
      </c>
      <c r="AF130">
        <v>27</v>
      </c>
      <c r="AG130">
        <v>28</v>
      </c>
      <c r="AH130">
        <v>29</v>
      </c>
      <c r="AI130">
        <v>30</v>
      </c>
      <c r="AJ130">
        <v>31</v>
      </c>
      <c r="AK130">
        <v>32</v>
      </c>
      <c r="AL130">
        <v>33</v>
      </c>
      <c r="AM130">
        <v>34</v>
      </c>
      <c r="AN130">
        <v>35</v>
      </c>
      <c r="AO130">
        <v>36</v>
      </c>
      <c r="AP130">
        <v>37</v>
      </c>
      <c r="AQ130">
        <v>38</v>
      </c>
      <c r="AR130">
        <v>39</v>
      </c>
      <c r="AS130">
        <v>40</v>
      </c>
    </row>
    <row r="131" spans="1:95">
      <c r="A131" s="27"/>
      <c r="B131" s="26" t="s">
        <v>28</v>
      </c>
      <c r="C131" s="27"/>
      <c r="D131" s="71">
        <f>SUM(F131:CQ131)</f>
        <v>-16178564.206099512</v>
      </c>
      <c r="E131" s="71"/>
      <c r="F131" s="71">
        <f>PMT($D$106,$D$110,$D$111)</f>
        <v>-404464.10515248799</v>
      </c>
      <c r="G131" s="71">
        <f t="shared" ref="G131:AS131" si="80">PMT($D$106,$D$110,$D$111)</f>
        <v>-404464.10515248799</v>
      </c>
      <c r="H131" s="71">
        <f t="shared" si="80"/>
        <v>-404464.10515248799</v>
      </c>
      <c r="I131" s="71">
        <f t="shared" si="80"/>
        <v>-404464.10515248799</v>
      </c>
      <c r="J131" s="71">
        <f t="shared" si="80"/>
        <v>-404464.10515248799</v>
      </c>
      <c r="K131" s="71">
        <f t="shared" si="80"/>
        <v>-404464.10515248799</v>
      </c>
      <c r="L131" s="71">
        <f t="shared" si="80"/>
        <v>-404464.10515248799</v>
      </c>
      <c r="M131" s="71">
        <f t="shared" si="80"/>
        <v>-404464.10515248799</v>
      </c>
      <c r="N131" s="71">
        <f t="shared" si="80"/>
        <v>-404464.10515248799</v>
      </c>
      <c r="O131" s="71">
        <f t="shared" si="80"/>
        <v>-404464.10515248799</v>
      </c>
      <c r="P131" s="71">
        <f t="shared" si="80"/>
        <v>-404464.10515248799</v>
      </c>
      <c r="Q131" s="71">
        <f t="shared" si="80"/>
        <v>-404464.10515248799</v>
      </c>
      <c r="R131" s="71">
        <f t="shared" si="80"/>
        <v>-404464.10515248799</v>
      </c>
      <c r="S131" s="71">
        <f t="shared" si="80"/>
        <v>-404464.10515248799</v>
      </c>
      <c r="T131" s="71">
        <f t="shared" si="80"/>
        <v>-404464.10515248799</v>
      </c>
      <c r="U131" s="71">
        <f t="shared" si="80"/>
        <v>-404464.10515248799</v>
      </c>
      <c r="V131" s="71">
        <f t="shared" si="80"/>
        <v>-404464.10515248799</v>
      </c>
      <c r="W131" s="71">
        <f t="shared" si="80"/>
        <v>-404464.10515248799</v>
      </c>
      <c r="X131" s="71">
        <f t="shared" si="80"/>
        <v>-404464.10515248799</v>
      </c>
      <c r="Y131" s="71">
        <f t="shared" si="80"/>
        <v>-404464.10515248799</v>
      </c>
      <c r="Z131" s="71">
        <f t="shared" si="80"/>
        <v>-404464.10515248799</v>
      </c>
      <c r="AA131" s="71">
        <f t="shared" si="80"/>
        <v>-404464.10515248799</v>
      </c>
      <c r="AB131" s="71">
        <f t="shared" si="80"/>
        <v>-404464.10515248799</v>
      </c>
      <c r="AC131" s="71">
        <f t="shared" si="80"/>
        <v>-404464.10515248799</v>
      </c>
      <c r="AD131" s="71">
        <f t="shared" si="80"/>
        <v>-404464.10515248799</v>
      </c>
      <c r="AE131" s="71">
        <f t="shared" si="80"/>
        <v>-404464.10515248799</v>
      </c>
      <c r="AF131" s="71">
        <f t="shared" si="80"/>
        <v>-404464.10515248799</v>
      </c>
      <c r="AG131" s="71">
        <f t="shared" si="80"/>
        <v>-404464.10515248799</v>
      </c>
      <c r="AH131" s="71">
        <f t="shared" si="80"/>
        <v>-404464.10515248799</v>
      </c>
      <c r="AI131" s="71">
        <f t="shared" si="80"/>
        <v>-404464.10515248799</v>
      </c>
      <c r="AJ131" s="71">
        <f t="shared" si="80"/>
        <v>-404464.10515248799</v>
      </c>
      <c r="AK131" s="71">
        <f t="shared" si="80"/>
        <v>-404464.10515248799</v>
      </c>
      <c r="AL131" s="71">
        <f t="shared" si="80"/>
        <v>-404464.10515248799</v>
      </c>
      <c r="AM131" s="71">
        <f t="shared" si="80"/>
        <v>-404464.10515248799</v>
      </c>
      <c r="AN131" s="71">
        <f t="shared" si="80"/>
        <v>-404464.10515248799</v>
      </c>
      <c r="AO131" s="71">
        <f t="shared" si="80"/>
        <v>-404464.10515248799</v>
      </c>
      <c r="AP131" s="71">
        <f t="shared" si="80"/>
        <v>-404464.10515248799</v>
      </c>
      <c r="AQ131" s="71">
        <f t="shared" si="80"/>
        <v>-404464.10515248799</v>
      </c>
      <c r="AR131" s="71">
        <f t="shared" si="80"/>
        <v>-404464.10515248799</v>
      </c>
      <c r="AS131" s="71">
        <f t="shared" si="80"/>
        <v>-404464.10515248799</v>
      </c>
    </row>
    <row r="132" spans="1:95">
      <c r="A132" s="27"/>
      <c r="B132" s="27"/>
      <c r="C132" s="27" t="s">
        <v>29</v>
      </c>
      <c r="D132" s="71">
        <f t="shared" ref="D132:D137" si="81">SUM(F132:CQ132)</f>
        <v>-6085687</v>
      </c>
      <c r="E132" s="71"/>
      <c r="F132" s="71">
        <f>PPMT($D$106,F$130,$D$110,$D$111)</f>
        <v>-39322.88515248803</v>
      </c>
      <c r="G132" s="71">
        <f t="shared" ref="G132:AS132" si="82">PPMT($D$106,G$130,$D$110,$D$111)</f>
        <v>-41682.258261637318</v>
      </c>
      <c r="H132" s="71">
        <f t="shared" si="82"/>
        <v>-44183.193757335546</v>
      </c>
      <c r="I132" s="71">
        <f t="shared" si="82"/>
        <v>-46834.185382775686</v>
      </c>
      <c r="J132" s="71">
        <f t="shared" si="82"/>
        <v>-49644.236505742214</v>
      </c>
      <c r="K132" s="71">
        <f t="shared" si="82"/>
        <v>-52622.890696086768</v>
      </c>
      <c r="L132" s="71">
        <f t="shared" si="82"/>
        <v>-55780.264137851955</v>
      </c>
      <c r="M132" s="71">
        <f t="shared" si="82"/>
        <v>-59127.079986123077</v>
      </c>
      <c r="N132" s="71">
        <f t="shared" si="82"/>
        <v>-62674.704785290465</v>
      </c>
      <c r="O132" s="71">
        <f t="shared" si="82"/>
        <v>-66435.187072407891</v>
      </c>
      <c r="P132" s="71">
        <f t="shared" si="82"/>
        <v>-70421.298296752371</v>
      </c>
      <c r="Q132" s="71">
        <f t="shared" si="82"/>
        <v>-74646.576194557507</v>
      </c>
      <c r="R132" s="71">
        <f t="shared" si="82"/>
        <v>-79125.370766230961</v>
      </c>
      <c r="S132" s="71">
        <f t="shared" si="82"/>
        <v>-83872.893012204819</v>
      </c>
      <c r="T132" s="71">
        <f t="shared" si="82"/>
        <v>-88905.2665929371</v>
      </c>
      <c r="U132" s="71">
        <f t="shared" si="82"/>
        <v>-94239.582588513338</v>
      </c>
      <c r="V132" s="71">
        <f t="shared" si="82"/>
        <v>-99893.957543824145</v>
      </c>
      <c r="W132" s="71">
        <f t="shared" si="82"/>
        <v>-105887.59499645357</v>
      </c>
      <c r="X132" s="71">
        <f t="shared" si="82"/>
        <v>-112240.85069624077</v>
      </c>
      <c r="Y132" s="71">
        <f t="shared" si="82"/>
        <v>-118975.30173801522</v>
      </c>
      <c r="Z132" s="71">
        <f t="shared" si="82"/>
        <v>-126113.81984229613</v>
      </c>
      <c r="AA132" s="71">
        <f t="shared" si="82"/>
        <v>-133680.6490328339</v>
      </c>
      <c r="AB132" s="71">
        <f t="shared" si="82"/>
        <v>-141701.48797480392</v>
      </c>
      <c r="AC132" s="71">
        <f t="shared" si="82"/>
        <v>-150203.57725329217</v>
      </c>
      <c r="AD132" s="71">
        <f t="shared" si="82"/>
        <v>-159215.79188848968</v>
      </c>
      <c r="AE132" s="71">
        <f t="shared" si="82"/>
        <v>-168768.7394017991</v>
      </c>
      <c r="AF132" s="71">
        <f t="shared" si="82"/>
        <v>-178894.86376590704</v>
      </c>
      <c r="AG132" s="71">
        <f t="shared" si="82"/>
        <v>-189628.55559186146</v>
      </c>
      <c r="AH132" s="71">
        <f t="shared" si="82"/>
        <v>-201006.26892737317</v>
      </c>
      <c r="AI132" s="71">
        <f t="shared" si="82"/>
        <v>-213066.64506301555</v>
      </c>
      <c r="AJ132" s="71">
        <f t="shared" si="82"/>
        <v>-225850.64376679645</v>
      </c>
      <c r="AK132" s="71">
        <f t="shared" si="82"/>
        <v>-239401.68239280424</v>
      </c>
      <c r="AL132" s="71">
        <f t="shared" si="82"/>
        <v>-253765.78333637246</v>
      </c>
      <c r="AM132" s="71">
        <f t="shared" si="82"/>
        <v>-268991.73033655487</v>
      </c>
      <c r="AN132" s="71">
        <f t="shared" si="82"/>
        <v>-285131.23415674811</v>
      </c>
      <c r="AO132" s="71">
        <f t="shared" si="82"/>
        <v>-302239.10820615303</v>
      </c>
      <c r="AP132" s="71">
        <f t="shared" si="82"/>
        <v>-320373.45469852217</v>
      </c>
      <c r="AQ132" s="71">
        <f t="shared" si="82"/>
        <v>-339595.86198043352</v>
      </c>
      <c r="AR132" s="71">
        <f t="shared" si="82"/>
        <v>-359971.61369925953</v>
      </c>
      <c r="AS132" s="71">
        <f t="shared" si="82"/>
        <v>-381569.91052121512</v>
      </c>
    </row>
    <row r="133" spans="1:95">
      <c r="A133" s="27"/>
      <c r="B133" s="27"/>
      <c r="C133" s="27" t="s">
        <v>30</v>
      </c>
      <c r="D133" s="71">
        <f t="shared" si="81"/>
        <v>-10092877.20609952</v>
      </c>
      <c r="E133" s="71"/>
      <c r="F133" s="71">
        <f>IPMT($D$106,F$130,$D$110,$D$111)</f>
        <v>-365141.22</v>
      </c>
      <c r="G133" s="71">
        <f t="shared" ref="G133:AS133" si="83">IPMT($D$106,G$130,$D$110,$D$111)</f>
        <v>-362781.84689085069</v>
      </c>
      <c r="H133" s="71">
        <f t="shared" si="83"/>
        <v>-360280.91139515245</v>
      </c>
      <c r="I133" s="71">
        <f t="shared" si="83"/>
        <v>-357629.91976971232</v>
      </c>
      <c r="J133" s="71">
        <f t="shared" si="83"/>
        <v>-354819.8686467458</v>
      </c>
      <c r="K133" s="71">
        <f t="shared" si="83"/>
        <v>-351841.21445640124</v>
      </c>
      <c r="L133" s="71">
        <f t="shared" si="83"/>
        <v>-348683.84101463604</v>
      </c>
      <c r="M133" s="71">
        <f t="shared" si="83"/>
        <v>-345337.02516636491</v>
      </c>
      <c r="N133" s="71">
        <f t="shared" si="83"/>
        <v>-341789.40036719752</v>
      </c>
      <c r="O133" s="71">
        <f t="shared" si="83"/>
        <v>-338028.91808008013</v>
      </c>
      <c r="P133" s="71">
        <f t="shared" si="83"/>
        <v>-334042.80685573566</v>
      </c>
      <c r="Q133" s="71">
        <f t="shared" si="83"/>
        <v>-329817.52895793045</v>
      </c>
      <c r="R133" s="71">
        <f t="shared" si="83"/>
        <v>-325338.73438625701</v>
      </c>
      <c r="S133" s="71">
        <f t="shared" si="83"/>
        <v>-320591.2121402832</v>
      </c>
      <c r="T133" s="71">
        <f t="shared" si="83"/>
        <v>-315558.83855955093</v>
      </c>
      <c r="U133" s="71">
        <f t="shared" si="83"/>
        <v>-310224.52256397466</v>
      </c>
      <c r="V133" s="71">
        <f t="shared" si="83"/>
        <v>-304570.14760866389</v>
      </c>
      <c r="W133" s="71">
        <f t="shared" si="83"/>
        <v>-298576.51015603443</v>
      </c>
      <c r="X133" s="71">
        <f t="shared" si="83"/>
        <v>-292223.25445624726</v>
      </c>
      <c r="Y133" s="71">
        <f t="shared" si="83"/>
        <v>-285488.80341447279</v>
      </c>
      <c r="Z133" s="71">
        <f t="shared" si="83"/>
        <v>-278350.28531019192</v>
      </c>
      <c r="AA133" s="71">
        <f t="shared" si="83"/>
        <v>-270783.45611965412</v>
      </c>
      <c r="AB133" s="71">
        <f t="shared" si="83"/>
        <v>-262762.61717768403</v>
      </c>
      <c r="AC133" s="71">
        <f t="shared" si="83"/>
        <v>-254260.52789919588</v>
      </c>
      <c r="AD133" s="71">
        <f t="shared" si="83"/>
        <v>-245248.31326399828</v>
      </c>
      <c r="AE133" s="71">
        <f t="shared" si="83"/>
        <v>-235695.36575068891</v>
      </c>
      <c r="AF133" s="71">
        <f t="shared" si="83"/>
        <v>-225569.24138658095</v>
      </c>
      <c r="AG133" s="71">
        <f t="shared" si="83"/>
        <v>-214835.54956062656</v>
      </c>
      <c r="AH133" s="71">
        <f t="shared" si="83"/>
        <v>-203457.83622511485</v>
      </c>
      <c r="AI133" s="71">
        <f t="shared" si="83"/>
        <v>-191397.4600894725</v>
      </c>
      <c r="AJ133" s="71">
        <f t="shared" si="83"/>
        <v>-178613.46138569154</v>
      </c>
      <c r="AK133" s="71">
        <f t="shared" si="83"/>
        <v>-165062.42275968377</v>
      </c>
      <c r="AL133" s="71">
        <f t="shared" si="83"/>
        <v>-150698.32181611549</v>
      </c>
      <c r="AM133" s="71">
        <f t="shared" si="83"/>
        <v>-135472.37481593317</v>
      </c>
      <c r="AN133" s="71">
        <f t="shared" si="83"/>
        <v>-119332.87099573985</v>
      </c>
      <c r="AO133" s="71">
        <f t="shared" si="83"/>
        <v>-102224.996946335</v>
      </c>
      <c r="AP133" s="71">
        <f t="shared" si="83"/>
        <v>-84090.650453965805</v>
      </c>
      <c r="AQ133" s="71">
        <f t="shared" si="83"/>
        <v>-64868.24317205447</v>
      </c>
      <c r="AR133" s="71">
        <f t="shared" si="83"/>
        <v>-44492.491453228467</v>
      </c>
      <c r="AS133" s="71">
        <f t="shared" si="83"/>
        <v>-22894.194631272901</v>
      </c>
    </row>
    <row r="134" spans="1:95">
      <c r="A134" s="27"/>
      <c r="B134" s="33" t="s">
        <v>31</v>
      </c>
      <c r="C134" s="33"/>
      <c r="D134" s="71"/>
      <c r="E134" s="71">
        <f>D111</f>
        <v>6085687</v>
      </c>
      <c r="F134" s="71">
        <f>E134+F132</f>
        <v>6046364.114847512</v>
      </c>
      <c r="G134" s="71">
        <f t="shared" ref="G134:AS134" si="84">F134+G132</f>
        <v>6004681.8565858742</v>
      </c>
      <c r="H134" s="71">
        <f t="shared" si="84"/>
        <v>5960498.6628285386</v>
      </c>
      <c r="I134" s="71">
        <f t="shared" si="84"/>
        <v>5913664.4774457626</v>
      </c>
      <c r="J134" s="71">
        <f t="shared" si="84"/>
        <v>5864020.2409400204</v>
      </c>
      <c r="K134" s="71">
        <f t="shared" si="84"/>
        <v>5811397.3502439335</v>
      </c>
      <c r="L134" s="71">
        <f t="shared" si="84"/>
        <v>5755617.0861060815</v>
      </c>
      <c r="M134" s="71">
        <f t="shared" si="84"/>
        <v>5696490.0061199581</v>
      </c>
      <c r="N134" s="71">
        <f t="shared" si="84"/>
        <v>5633815.301334668</v>
      </c>
      <c r="O134" s="71">
        <f t="shared" si="84"/>
        <v>5567380.1142622605</v>
      </c>
      <c r="P134" s="71">
        <f t="shared" si="84"/>
        <v>5496958.8159655081</v>
      </c>
      <c r="Q134" s="71">
        <f t="shared" si="84"/>
        <v>5422312.2397709507</v>
      </c>
      <c r="R134" s="71">
        <f t="shared" si="84"/>
        <v>5343186.8690047199</v>
      </c>
      <c r="S134" s="71">
        <f t="shared" si="84"/>
        <v>5259313.9759925148</v>
      </c>
      <c r="T134" s="71">
        <f t="shared" si="84"/>
        <v>5170408.7093995772</v>
      </c>
      <c r="U134" s="71">
        <f t="shared" si="84"/>
        <v>5076169.1268110638</v>
      </c>
      <c r="V134" s="71">
        <f t="shared" si="84"/>
        <v>4976275.16926724</v>
      </c>
      <c r="W134" s="71">
        <f t="shared" si="84"/>
        <v>4870387.5742707867</v>
      </c>
      <c r="X134" s="71">
        <f t="shared" si="84"/>
        <v>4758146.7235745462</v>
      </c>
      <c r="Y134" s="71">
        <f t="shared" si="84"/>
        <v>4639171.4218365308</v>
      </c>
      <c r="Z134" s="71">
        <f t="shared" si="84"/>
        <v>4513057.6019942351</v>
      </c>
      <c r="AA134" s="71">
        <f t="shared" si="84"/>
        <v>4379376.9529614011</v>
      </c>
      <c r="AB134" s="71">
        <f t="shared" si="84"/>
        <v>4237675.4649865972</v>
      </c>
      <c r="AC134" s="71">
        <f t="shared" si="84"/>
        <v>4087471.8877333049</v>
      </c>
      <c r="AD134" s="71">
        <f t="shared" si="84"/>
        <v>3928256.095844815</v>
      </c>
      <c r="AE134" s="71">
        <f t="shared" si="84"/>
        <v>3759487.3564430159</v>
      </c>
      <c r="AF134" s="71">
        <f t="shared" si="84"/>
        <v>3580592.4926771089</v>
      </c>
      <c r="AG134" s="71">
        <f t="shared" si="84"/>
        <v>3390963.9370852476</v>
      </c>
      <c r="AH134" s="71">
        <f t="shared" si="84"/>
        <v>3189957.6681578746</v>
      </c>
      <c r="AI134" s="71">
        <f t="shared" si="84"/>
        <v>2976891.023094859</v>
      </c>
      <c r="AJ134" s="71">
        <f t="shared" si="84"/>
        <v>2751040.3793280628</v>
      </c>
      <c r="AK134" s="71">
        <f t="shared" si="84"/>
        <v>2511638.6969352583</v>
      </c>
      <c r="AL134" s="71">
        <f t="shared" si="84"/>
        <v>2257872.9135988858</v>
      </c>
      <c r="AM134" s="71">
        <f t="shared" si="84"/>
        <v>1988881.1832623309</v>
      </c>
      <c r="AN134" s="71">
        <f t="shared" si="84"/>
        <v>1703749.9491055829</v>
      </c>
      <c r="AO134" s="71">
        <f t="shared" si="84"/>
        <v>1401510.8408994297</v>
      </c>
      <c r="AP134" s="71">
        <f t="shared" si="84"/>
        <v>1081137.3862009076</v>
      </c>
      <c r="AQ134" s="71">
        <f t="shared" si="84"/>
        <v>741541.52422047406</v>
      </c>
      <c r="AR134" s="71">
        <f t="shared" si="84"/>
        <v>381569.91052121454</v>
      </c>
      <c r="AS134" s="71">
        <f t="shared" si="84"/>
        <v>-5.8207660913467407E-10</v>
      </c>
    </row>
    <row r="135" spans="1:95">
      <c r="A135" s="27"/>
      <c r="B135" s="26" t="s">
        <v>32</v>
      </c>
      <c r="C135" s="27"/>
      <c r="D135" s="71">
        <f t="shared" si="81"/>
        <v>-3175529.7184130959</v>
      </c>
      <c r="E135" s="71"/>
      <c r="F135" s="71">
        <f>F131*F127</f>
        <v>-206331.09634150279</v>
      </c>
      <c r="G135" s="71">
        <f t="shared" ref="G135:AS135" si="85">G131*G127</f>
        <v>-194084.37244050685</v>
      </c>
      <c r="H135" s="71">
        <f t="shared" si="85"/>
        <v>-182564.54937494764</v>
      </c>
      <c r="I135" s="71">
        <f t="shared" si="85"/>
        <v>-171728.48215120652</v>
      </c>
      <c r="J135" s="71">
        <f t="shared" si="85"/>
        <v>-161535.58663456544</v>
      </c>
      <c r="K135" s="71">
        <f t="shared" si="85"/>
        <v>-151947.68755015093</v>
      </c>
      <c r="L135" s="71">
        <f t="shared" si="85"/>
        <v>-142928.87550573883</v>
      </c>
      <c r="M135" s="71">
        <f t="shared" si="85"/>
        <v>-134445.37250093013</v>
      </c>
      <c r="N135" s="71">
        <f t="shared" si="85"/>
        <v>-126465.40541899174</v>
      </c>
      <c r="O135" s="71">
        <f t="shared" si="85"/>
        <v>-118959.08702755315</v>
      </c>
      <c r="P135" s="71">
        <f t="shared" si="85"/>
        <v>-111898.3040424731</v>
      </c>
      <c r="Q135" s="71">
        <f t="shared" si="85"/>
        <v>-105256.61183564397</v>
      </c>
      <c r="R135" s="71">
        <f t="shared" si="85"/>
        <v>-99009.135392384516</v>
      </c>
      <c r="S135" s="71">
        <f t="shared" si="85"/>
        <v>-93132.476147478621</v>
      </c>
      <c r="T135" s="71">
        <f t="shared" si="85"/>
        <v>-87604.624350934639</v>
      </c>
      <c r="U135" s="71">
        <f t="shared" si="85"/>
        <v>-82404.876635250344</v>
      </c>
      <c r="V135" s="71">
        <f t="shared" si="85"/>
        <v>-77513.758475449475</v>
      </c>
      <c r="W135" s="71">
        <f t="shared" si="85"/>
        <v>-72912.951251481034</v>
      </c>
      <c r="X135" s="71">
        <f t="shared" si="85"/>
        <v>-68585.223639809075</v>
      </c>
      <c r="Y135" s="71">
        <f t="shared" si="85"/>
        <v>-64514.367077235525</v>
      </c>
      <c r="Z135" s="71">
        <f t="shared" si="85"/>
        <v>-60685.135055249288</v>
      </c>
      <c r="AA135" s="71">
        <f t="shared" si="85"/>
        <v>-57083.186017542379</v>
      </c>
      <c r="AB135" s="71">
        <f t="shared" si="85"/>
        <v>-53695.029646827563</v>
      </c>
      <c r="AC135" s="71">
        <f t="shared" si="85"/>
        <v>-50507.976339786997</v>
      </c>
      <c r="AD135" s="71">
        <f t="shared" si="85"/>
        <v>-47510.089680920893</v>
      </c>
      <c r="AE135" s="71">
        <f t="shared" si="85"/>
        <v>-44690.141737297425</v>
      </c>
      <c r="AF135" s="71">
        <f t="shared" si="85"/>
        <v>-42037.571006770224</v>
      </c>
      <c r="AG135" s="71">
        <f t="shared" si="85"/>
        <v>-39542.442862167467</v>
      </c>
      <c r="AH135" s="71">
        <f t="shared" si="85"/>
        <v>-37195.412343304924</v>
      </c>
      <c r="AI135" s="71">
        <f t="shared" si="85"/>
        <v>-34987.689157468652</v>
      </c>
      <c r="AJ135" s="71">
        <f t="shared" si="85"/>
        <v>-32911.004757284034</v>
      </c>
      <c r="AK135" s="71">
        <f t="shared" si="85"/>
        <v>-30957.581372668639</v>
      </c>
      <c r="AL135" s="71">
        <f t="shared" si="85"/>
        <v>-29120.10288088481</v>
      </c>
      <c r="AM135" s="71">
        <f t="shared" si="85"/>
        <v>-27391.687405591962</v>
      </c>
      <c r="AN135" s="71">
        <f t="shared" si="85"/>
        <v>-25765.861542274441</v>
      </c>
      <c r="AO135" s="71">
        <f t="shared" si="85"/>
        <v>-24236.536113511847</v>
      </c>
      <c r="AP135" s="71">
        <f t="shared" si="85"/>
        <v>-22797.983363288349</v>
      </c>
      <c r="AQ135" s="71">
        <f t="shared" si="85"/>
        <v>-21444.815504927436</v>
      </c>
      <c r="AR135" s="71">
        <f t="shared" si="85"/>
        <v>-20171.964542307811</v>
      </c>
      <c r="AS135" s="71">
        <f t="shared" si="85"/>
        <v>-18974.66328878545</v>
      </c>
    </row>
    <row r="136" spans="1:95">
      <c r="A136" s="27"/>
      <c r="B136" s="27"/>
      <c r="C136" s="27" t="s">
        <v>29</v>
      </c>
      <c r="D136" s="71">
        <f t="shared" si="81"/>
        <v>-758413.16204535158</v>
      </c>
      <c r="E136" s="71"/>
      <c r="F136" s="71">
        <f>F132*F127</f>
        <v>-20059.960578615384</v>
      </c>
      <c r="G136" s="71">
        <f t="shared" ref="G136:AS136" si="86">G132*G127</f>
        <v>-20001.465726020429</v>
      </c>
      <c r="H136" s="71">
        <f t="shared" si="86"/>
        <v>-19943.141444437631</v>
      </c>
      <c r="I136" s="71">
        <f t="shared" si="86"/>
        <v>-19884.987236481888</v>
      </c>
      <c r="J136" s="71">
        <f t="shared" si="86"/>
        <v>-19827.002606218412</v>
      </c>
      <c r="K136" s="71">
        <f t="shared" si="86"/>
        <v>-19769.187059158619</v>
      </c>
      <c r="L136" s="71">
        <f t="shared" si="86"/>
        <v>-19711.540102255793</v>
      </c>
      <c r="M136" s="71">
        <f t="shared" si="86"/>
        <v>-19654.061243900989</v>
      </c>
      <c r="N136" s="71">
        <f t="shared" si="86"/>
        <v>-19596.749993918773</v>
      </c>
      <c r="O136" s="71">
        <f t="shared" si="86"/>
        <v>-19539.605863563069</v>
      </c>
      <c r="P136" s="71">
        <f t="shared" si="86"/>
        <v>-19482.628365512988</v>
      </c>
      <c r="Q136" s="71">
        <f t="shared" si="86"/>
        <v>-19425.817013868655</v>
      </c>
      <c r="R136" s="71">
        <f t="shared" si="86"/>
        <v>-19369.171324147093</v>
      </c>
      <c r="S136" s="71">
        <f t="shared" si="86"/>
        <v>-19312.690813278074</v>
      </c>
      <c r="T136" s="71">
        <f t="shared" si="86"/>
        <v>-19256.374999599993</v>
      </c>
      <c r="U136" s="71">
        <f t="shared" si="86"/>
        <v>-19200.223402855798</v>
      </c>
      <c r="V136" s="71">
        <f t="shared" si="86"/>
        <v>-19144.235544188832</v>
      </c>
      <c r="W136" s="71">
        <f t="shared" si="86"/>
        <v>-19088.4109461388</v>
      </c>
      <c r="X136" s="71">
        <f t="shared" si="86"/>
        <v>-19032.749132637688</v>
      </c>
      <c r="Y136" s="71">
        <f t="shared" si="86"/>
        <v>-18977.249629005692</v>
      </c>
      <c r="Z136" s="71">
        <f t="shared" si="86"/>
        <v>-18921.911961947164</v>
      </c>
      <c r="AA136" s="71">
        <f t="shared" si="86"/>
        <v>-18866.735659546608</v>
      </c>
      <c r="AB136" s="71">
        <f t="shared" si="86"/>
        <v>-18811.720251264607</v>
      </c>
      <c r="AC136" s="71">
        <f t="shared" si="86"/>
        <v>-18756.865267933859</v>
      </c>
      <c r="AD136" s="71">
        <f t="shared" si="86"/>
        <v>-18702.170241755139</v>
      </c>
      <c r="AE136" s="71">
        <f t="shared" si="86"/>
        <v>-18647.634706293342</v>
      </c>
      <c r="AF136" s="71">
        <f t="shared" si="86"/>
        <v>-18593.258196473467</v>
      </c>
      <c r="AG136" s="71">
        <f t="shared" si="86"/>
        <v>-18539.04024857669</v>
      </c>
      <c r="AH136" s="71">
        <f t="shared" si="86"/>
        <v>-18484.980400236374</v>
      </c>
      <c r="AI136" s="71">
        <f t="shared" si="86"/>
        <v>-18431.078190434164</v>
      </c>
      <c r="AJ136" s="71">
        <f t="shared" si="86"/>
        <v>-18377.333159496015</v>
      </c>
      <c r="AK136" s="71">
        <f t="shared" si="86"/>
        <v>-18323.7448490883</v>
      </c>
      <c r="AL136" s="71">
        <f t="shared" si="86"/>
        <v>-18270.312802213899</v>
      </c>
      <c r="AM136" s="71">
        <f t="shared" si="86"/>
        <v>-18217.036563208298</v>
      </c>
      <c r="AN136" s="71">
        <f t="shared" si="86"/>
        <v>-18163.915677735669</v>
      </c>
      <c r="AO136" s="71">
        <f t="shared" si="86"/>
        <v>-18110.949692785074</v>
      </c>
      <c r="AP136" s="71">
        <f t="shared" si="86"/>
        <v>-18058.138156666515</v>
      </c>
      <c r="AQ136" s="71">
        <f t="shared" si="86"/>
        <v>-18005.480619007161</v>
      </c>
      <c r="AR136" s="71">
        <f t="shared" si="86"/>
        <v>-17952.976630747427</v>
      </c>
      <c r="AS136" s="71">
        <f t="shared" si="86"/>
        <v>-17900.625744137218</v>
      </c>
    </row>
    <row r="137" spans="1:95">
      <c r="A137" s="27"/>
      <c r="B137" s="27"/>
      <c r="C137" s="27" t="s">
        <v>30</v>
      </c>
      <c r="D137" s="71">
        <f t="shared" si="81"/>
        <v>-2417116.5563677438</v>
      </c>
      <c r="E137" s="71"/>
      <c r="F137" s="71">
        <f>F133*F127</f>
        <v>-186271.1357628874</v>
      </c>
      <c r="G137" s="71">
        <f t="shared" ref="G137:AS137" si="87">G133*G127</f>
        <v>-174082.90671448642</v>
      </c>
      <c r="H137" s="71">
        <f t="shared" si="87"/>
        <v>-162621.40793051</v>
      </c>
      <c r="I137" s="71">
        <f t="shared" si="87"/>
        <v>-151843.49491472464</v>
      </c>
      <c r="J137" s="71">
        <f t="shared" si="87"/>
        <v>-141708.58402834705</v>
      </c>
      <c r="K137" s="71">
        <f t="shared" si="87"/>
        <v>-132178.50049099233</v>
      </c>
      <c r="L137" s="71">
        <f t="shared" si="87"/>
        <v>-123217.33540348304</v>
      </c>
      <c r="M137" s="71">
        <f t="shared" si="87"/>
        <v>-114791.31125702914</v>
      </c>
      <c r="N137" s="71">
        <f t="shared" si="87"/>
        <v>-106868.65542507297</v>
      </c>
      <c r="O137" s="71">
        <f t="shared" si="87"/>
        <v>-99419.481163990087</v>
      </c>
      <c r="P137" s="71">
        <f t="shared" si="87"/>
        <v>-92415.675676960134</v>
      </c>
      <c r="Q137" s="71">
        <f t="shared" si="87"/>
        <v>-85830.794821775315</v>
      </c>
      <c r="R137" s="71">
        <f t="shared" si="87"/>
        <v>-79639.964068237416</v>
      </c>
      <c r="S137" s="71">
        <f t="shared" si="87"/>
        <v>-73819.785334200555</v>
      </c>
      <c r="T137" s="71">
        <f t="shared" si="87"/>
        <v>-68348.249351334656</v>
      </c>
      <c r="U137" s="71">
        <f t="shared" si="87"/>
        <v>-63204.65323239455</v>
      </c>
      <c r="V137" s="71">
        <f t="shared" si="87"/>
        <v>-58369.522931260661</v>
      </c>
      <c r="W137" s="71">
        <f t="shared" si="87"/>
        <v>-53824.540305342234</v>
      </c>
      <c r="X137" s="71">
        <f t="shared" si="87"/>
        <v>-49552.474507171399</v>
      </c>
      <c r="Y137" s="71">
        <f t="shared" si="87"/>
        <v>-45537.117448229837</v>
      </c>
      <c r="Z137" s="71">
        <f t="shared" si="87"/>
        <v>-41763.223093302135</v>
      </c>
      <c r="AA137" s="71">
        <f t="shared" si="87"/>
        <v>-38216.450357995775</v>
      </c>
      <c r="AB137" s="71">
        <f t="shared" si="87"/>
        <v>-34883.309395562952</v>
      </c>
      <c r="AC137" s="71">
        <f t="shared" si="87"/>
        <v>-31751.111071853149</v>
      </c>
      <c r="AD137" s="71">
        <f t="shared" si="87"/>
        <v>-28807.919439165755</v>
      </c>
      <c r="AE137" s="71">
        <f t="shared" si="87"/>
        <v>-26042.507031004086</v>
      </c>
      <c r="AF137" s="71">
        <f t="shared" si="87"/>
        <v>-23444.31281029676</v>
      </c>
      <c r="AG137" s="71">
        <f t="shared" si="87"/>
        <v>-21003.402613590784</v>
      </c>
      <c r="AH137" s="71">
        <f t="shared" si="87"/>
        <v>-18710.43194306855</v>
      </c>
      <c r="AI137" s="71">
        <f t="shared" si="87"/>
        <v>-16556.610967034496</v>
      </c>
      <c r="AJ137" s="71">
        <f t="shared" si="87"/>
        <v>-14533.671597788021</v>
      </c>
      <c r="AK137" s="71">
        <f t="shared" si="87"/>
        <v>-12633.836523580341</v>
      </c>
      <c r="AL137" s="71">
        <f t="shared" si="87"/>
        <v>-10849.790078670907</v>
      </c>
      <c r="AM137" s="71">
        <f t="shared" si="87"/>
        <v>-9174.6508423836676</v>
      </c>
      <c r="AN137" s="71">
        <f t="shared" si="87"/>
        <v>-7601.9458645387713</v>
      </c>
      <c r="AO137" s="71">
        <f t="shared" si="87"/>
        <v>-6125.5864207267741</v>
      </c>
      <c r="AP137" s="71">
        <f t="shared" si="87"/>
        <v>-4739.8452066218306</v>
      </c>
      <c r="AQ137" s="71">
        <f t="shared" si="87"/>
        <v>-3439.3348859202711</v>
      </c>
      <c r="AR137" s="71">
        <f t="shared" si="87"/>
        <v>-2218.9879115603817</v>
      </c>
      <c r="AS137" s="71">
        <f t="shared" si="87"/>
        <v>-1074.0375446482328</v>
      </c>
    </row>
    <row r="139" spans="1:95" ht="21">
      <c r="A139" s="29" t="s">
        <v>33</v>
      </c>
      <c r="B139" s="30"/>
      <c r="C139" s="30"/>
      <c r="D139" s="30"/>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row>
    <row r="140" spans="1:95">
      <c r="A140" s="36" t="s">
        <v>150</v>
      </c>
      <c r="B140" s="44"/>
      <c r="C140" s="37"/>
      <c r="D140" s="37"/>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row>
    <row r="141" spans="1:95">
      <c r="A141" s="140" t="s">
        <v>24</v>
      </c>
      <c r="B141" s="141"/>
      <c r="C141" s="142"/>
      <c r="D141" s="142"/>
      <c r="E141" s="141"/>
      <c r="F141" s="141"/>
      <c r="BF141" t="s">
        <v>25</v>
      </c>
      <c r="BG141" t="s">
        <v>25</v>
      </c>
      <c r="BH141" t="s">
        <v>25</v>
      </c>
      <c r="BI141" t="s">
        <v>25</v>
      </c>
      <c r="BJ141" t="s">
        <v>25</v>
      </c>
      <c r="BK141" t="s">
        <v>25</v>
      </c>
      <c r="BL141" t="s">
        <v>25</v>
      </c>
      <c r="BM141" t="s">
        <v>25</v>
      </c>
      <c r="BN141" t="s">
        <v>25</v>
      </c>
      <c r="BO141" t="s">
        <v>25</v>
      </c>
      <c r="BP141" t="s">
        <v>25</v>
      </c>
      <c r="BQ141" t="s">
        <v>25</v>
      </c>
      <c r="BR141" s="141">
        <v>1</v>
      </c>
      <c r="BS141" s="141">
        <v>2</v>
      </c>
      <c r="BT141" s="141">
        <v>3</v>
      </c>
      <c r="BU141" s="141">
        <v>4</v>
      </c>
      <c r="BV141" s="141">
        <v>5</v>
      </c>
      <c r="BW141" s="141">
        <v>6</v>
      </c>
      <c r="BX141" s="141">
        <v>7</v>
      </c>
      <c r="BY141" s="141">
        <v>8</v>
      </c>
      <c r="BZ141" s="141">
        <v>9</v>
      </c>
      <c r="CA141" s="141">
        <v>10</v>
      </c>
      <c r="CB141" s="141">
        <v>11</v>
      </c>
      <c r="CC141" s="141">
        <v>12</v>
      </c>
      <c r="CD141" s="141">
        <v>13</v>
      </c>
      <c r="CE141" s="141">
        <v>14</v>
      </c>
      <c r="CF141" s="141">
        <v>15</v>
      </c>
      <c r="CG141" s="141">
        <v>16</v>
      </c>
      <c r="CH141" s="141">
        <v>17</v>
      </c>
      <c r="CI141" s="141">
        <v>18</v>
      </c>
      <c r="CJ141" s="141">
        <v>19</v>
      </c>
      <c r="CK141" s="141">
        <v>20</v>
      </c>
      <c r="CL141" s="141">
        <v>21</v>
      </c>
      <c r="CM141" s="141">
        <v>22</v>
      </c>
      <c r="CN141" s="141">
        <v>23</v>
      </c>
      <c r="CO141" s="141">
        <v>24</v>
      </c>
      <c r="CP141" s="141">
        <v>25</v>
      </c>
      <c r="CQ141" s="141">
        <v>26</v>
      </c>
    </row>
    <row r="142" spans="1:95">
      <c r="A142" s="41"/>
      <c r="B142" s="26" t="s">
        <v>28</v>
      </c>
      <c r="C142" s="27"/>
      <c r="D142" s="71">
        <f>SUM(F142:CQ142)</f>
        <v>-5092126.9527344266</v>
      </c>
      <c r="BR142" s="71">
        <f>PMT($D$116,$D$120,$D$121)</f>
        <v>-195851.03664363181</v>
      </c>
      <c r="BS142" s="71">
        <f t="shared" ref="BS142:CQ142" si="88">PMT($D$116,$D$120,$D$121)</f>
        <v>-195851.03664363181</v>
      </c>
      <c r="BT142" s="71">
        <f t="shared" si="88"/>
        <v>-195851.03664363181</v>
      </c>
      <c r="BU142" s="71">
        <f t="shared" si="88"/>
        <v>-195851.03664363181</v>
      </c>
      <c r="BV142" s="71">
        <f t="shared" si="88"/>
        <v>-195851.03664363181</v>
      </c>
      <c r="BW142" s="71">
        <f t="shared" si="88"/>
        <v>-195851.03664363181</v>
      </c>
      <c r="BX142" s="71">
        <f t="shared" si="88"/>
        <v>-195851.03664363181</v>
      </c>
      <c r="BY142" s="71">
        <f t="shared" si="88"/>
        <v>-195851.03664363181</v>
      </c>
      <c r="BZ142" s="71">
        <f t="shared" si="88"/>
        <v>-195851.03664363181</v>
      </c>
      <c r="CA142" s="71">
        <f t="shared" si="88"/>
        <v>-195851.03664363181</v>
      </c>
      <c r="CB142" s="71">
        <f t="shared" si="88"/>
        <v>-195851.03664363181</v>
      </c>
      <c r="CC142" s="71">
        <f t="shared" si="88"/>
        <v>-195851.03664363181</v>
      </c>
      <c r="CD142" s="71">
        <f t="shared" si="88"/>
        <v>-195851.03664363181</v>
      </c>
      <c r="CE142" s="71">
        <f t="shared" si="88"/>
        <v>-195851.03664363181</v>
      </c>
      <c r="CF142" s="71">
        <f t="shared" si="88"/>
        <v>-195851.03664363181</v>
      </c>
      <c r="CG142" s="71">
        <f t="shared" si="88"/>
        <v>-195851.03664363181</v>
      </c>
      <c r="CH142" s="71">
        <f t="shared" si="88"/>
        <v>-195851.03664363181</v>
      </c>
      <c r="CI142" s="71">
        <f t="shared" si="88"/>
        <v>-195851.03664363181</v>
      </c>
      <c r="CJ142" s="71">
        <f t="shared" si="88"/>
        <v>-195851.03664363181</v>
      </c>
      <c r="CK142" s="71">
        <f t="shared" si="88"/>
        <v>-195851.03664363181</v>
      </c>
      <c r="CL142" s="71">
        <f t="shared" si="88"/>
        <v>-195851.03664363181</v>
      </c>
      <c r="CM142" s="71">
        <f t="shared" si="88"/>
        <v>-195851.03664363181</v>
      </c>
      <c r="CN142" s="71">
        <f t="shared" si="88"/>
        <v>-195851.03664363181</v>
      </c>
      <c r="CO142" s="71">
        <f t="shared" si="88"/>
        <v>-195851.03664363181</v>
      </c>
      <c r="CP142" s="71">
        <f t="shared" si="88"/>
        <v>-195851.03664363181</v>
      </c>
      <c r="CQ142" s="71">
        <f t="shared" si="88"/>
        <v>-195851.03664363181</v>
      </c>
    </row>
    <row r="143" spans="1:95">
      <c r="A143" s="41"/>
      <c r="B143" s="27"/>
      <c r="C143" s="27" t="s">
        <v>29</v>
      </c>
      <c r="D143" s="71">
        <f t="shared" ref="D143:D148" si="89">SUM(F143:CQ143)</f>
        <v>-3307993.0000000005</v>
      </c>
      <c r="BR143" s="71">
        <f>PPMT($D$116,BR$141,$D$120,$D$121)</f>
        <v>-80071.281643631781</v>
      </c>
      <c r="BS143" s="71">
        <f t="shared" ref="BS143:CQ143" si="90">PPMT($D$116,BS$141,$D$120,$D$121)</f>
        <v>-82873.776501158893</v>
      </c>
      <c r="BT143" s="71">
        <f t="shared" si="90"/>
        <v>-85774.358678699442</v>
      </c>
      <c r="BU143" s="71">
        <f t="shared" si="90"/>
        <v>-88776.461232453934</v>
      </c>
      <c r="BV143" s="71">
        <f t="shared" si="90"/>
        <v>-91883.637375589824</v>
      </c>
      <c r="BW143" s="71">
        <f t="shared" si="90"/>
        <v>-95099.564683735458</v>
      </c>
      <c r="BX143" s="71">
        <f t="shared" si="90"/>
        <v>-98428.049447666184</v>
      </c>
      <c r="BY143" s="71">
        <f t="shared" si="90"/>
        <v>-101873.0311783345</v>
      </c>
      <c r="BZ143" s="71">
        <f t="shared" si="90"/>
        <v>-105438.58726957625</v>
      </c>
      <c r="CA143" s="71">
        <f t="shared" si="90"/>
        <v>-109128.93782401139</v>
      </c>
      <c r="CB143" s="71">
        <f t="shared" si="90"/>
        <v>-112948.4506478518</v>
      </c>
      <c r="CC143" s="71">
        <f t="shared" si="90"/>
        <v>-116901.64642052659</v>
      </c>
      <c r="CD143" s="71">
        <f t="shared" si="90"/>
        <v>-120993.20404524503</v>
      </c>
      <c r="CE143" s="71">
        <f t="shared" si="90"/>
        <v>-125227.96618682861</v>
      </c>
      <c r="CF143" s="71">
        <f t="shared" si="90"/>
        <v>-129610.94500336761</v>
      </c>
      <c r="CG143" s="71">
        <f t="shared" si="90"/>
        <v>-134147.32807848547</v>
      </c>
      <c r="CH143" s="71">
        <f t="shared" si="90"/>
        <v>-138842.48456123247</v>
      </c>
      <c r="CI143" s="71">
        <f t="shared" si="90"/>
        <v>-143701.97152087561</v>
      </c>
      <c r="CJ143" s="71">
        <f t="shared" si="90"/>
        <v>-148731.54052410627</v>
      </c>
      <c r="CK143" s="71">
        <f t="shared" si="90"/>
        <v>-153937.14444244996</v>
      </c>
      <c r="CL143" s="71">
        <f t="shared" si="90"/>
        <v>-159324.94449793571</v>
      </c>
      <c r="CM143" s="71">
        <f t="shared" si="90"/>
        <v>-164901.31755536346</v>
      </c>
      <c r="CN143" s="71">
        <f t="shared" si="90"/>
        <v>-170672.86366980118</v>
      </c>
      <c r="CO143" s="71">
        <f t="shared" si="90"/>
        <v>-176646.41389824421</v>
      </c>
      <c r="CP143" s="71">
        <f t="shared" si="90"/>
        <v>-182829.03838468279</v>
      </c>
      <c r="CQ143" s="71">
        <f t="shared" si="90"/>
        <v>-189228.05472814667</v>
      </c>
    </row>
    <row r="144" spans="1:95">
      <c r="A144" s="41"/>
      <c r="B144" s="27"/>
      <c r="C144" s="27" t="s">
        <v>30</v>
      </c>
      <c r="D144" s="71">
        <f t="shared" si="89"/>
        <v>-1784133.9527344259</v>
      </c>
      <c r="BR144" s="71">
        <f>IPMT($D$116,BR$141,$D$120,$D$121)</f>
        <v>-115779.755</v>
      </c>
      <c r="BS144" s="71">
        <f t="shared" ref="BS144:CQ144" si="91">IPMT($D$116,BS$141,$D$120,$D$121)</f>
        <v>-112977.26014247291</v>
      </c>
      <c r="BT144" s="71">
        <f t="shared" si="91"/>
        <v>-110076.67796493236</v>
      </c>
      <c r="BU144" s="71">
        <f t="shared" si="91"/>
        <v>-107074.57541117785</v>
      </c>
      <c r="BV144" s="71">
        <f t="shared" si="91"/>
        <v>-103967.39926804201</v>
      </c>
      <c r="BW144" s="71">
        <f t="shared" si="91"/>
        <v>-100751.47195989636</v>
      </c>
      <c r="BX144" s="71">
        <f t="shared" si="91"/>
        <v>-97422.987195965601</v>
      </c>
      <c r="BY144" s="71">
        <f t="shared" si="91"/>
        <v>-93978.00546529729</v>
      </c>
      <c r="BZ144" s="71">
        <f t="shared" si="91"/>
        <v>-90412.449374055577</v>
      </c>
      <c r="CA144" s="71">
        <f t="shared" si="91"/>
        <v>-86722.098819620398</v>
      </c>
      <c r="CB144" s="71">
        <f t="shared" si="91"/>
        <v>-82902.585995780028</v>
      </c>
      <c r="CC144" s="71">
        <f t="shared" si="91"/>
        <v>-78949.390223105205</v>
      </c>
      <c r="CD144" s="71">
        <f t="shared" si="91"/>
        <v>-74857.832598386769</v>
      </c>
      <c r="CE144" s="71">
        <f t="shared" si="91"/>
        <v>-70623.070456803209</v>
      </c>
      <c r="CF144" s="71">
        <f t="shared" si="91"/>
        <v>-66240.091640264189</v>
      </c>
      <c r="CG144" s="71">
        <f t="shared" si="91"/>
        <v>-61703.708565146335</v>
      </c>
      <c r="CH144" s="71">
        <f t="shared" si="91"/>
        <v>-57008.552082399336</v>
      </c>
      <c r="CI144" s="71">
        <f t="shared" si="91"/>
        <v>-52149.065122756198</v>
      </c>
      <c r="CJ144" s="71">
        <f t="shared" si="91"/>
        <v>-47119.49611952556</v>
      </c>
      <c r="CK144" s="71">
        <f t="shared" si="91"/>
        <v>-41913.892201181836</v>
      </c>
      <c r="CL144" s="71">
        <f t="shared" si="91"/>
        <v>-36526.092145696079</v>
      </c>
      <c r="CM144" s="71">
        <f t="shared" si="91"/>
        <v>-30949.719088268343</v>
      </c>
      <c r="CN144" s="71">
        <f t="shared" si="91"/>
        <v>-25178.172973830617</v>
      </c>
      <c r="CO144" s="71">
        <f t="shared" si="91"/>
        <v>-19204.622745387576</v>
      </c>
      <c r="CP144" s="71">
        <f t="shared" si="91"/>
        <v>-13021.998258949026</v>
      </c>
      <c r="CQ144" s="71">
        <f t="shared" si="91"/>
        <v>-6622.981915485133</v>
      </c>
    </row>
    <row r="145" spans="1:95">
      <c r="A145" s="41"/>
      <c r="B145" s="33" t="s">
        <v>31</v>
      </c>
      <c r="C145" s="42"/>
      <c r="D145" s="71"/>
      <c r="BQ145" s="130">
        <f>D121</f>
        <v>3307993</v>
      </c>
      <c r="BR145" s="71">
        <f>BQ145+BR143</f>
        <v>3227921.7183563681</v>
      </c>
      <c r="BS145" s="71">
        <f t="shared" ref="BS145:CQ145" si="92">BR145+BS143</f>
        <v>3145047.9418552094</v>
      </c>
      <c r="BT145" s="71">
        <f t="shared" si="92"/>
        <v>3059273.5831765099</v>
      </c>
      <c r="BU145" s="71">
        <f t="shared" si="92"/>
        <v>2970497.1219440559</v>
      </c>
      <c r="BV145" s="71">
        <f t="shared" si="92"/>
        <v>2878613.484568466</v>
      </c>
      <c r="BW145" s="71">
        <f t="shared" si="92"/>
        <v>2783513.9198847306</v>
      </c>
      <c r="BX145" s="71">
        <f t="shared" si="92"/>
        <v>2685085.8704370642</v>
      </c>
      <c r="BY145" s="71">
        <f t="shared" si="92"/>
        <v>2583212.8392587295</v>
      </c>
      <c r="BZ145" s="71">
        <f t="shared" si="92"/>
        <v>2477774.2519891532</v>
      </c>
      <c r="CA145" s="71">
        <f t="shared" si="92"/>
        <v>2368645.3141651419</v>
      </c>
      <c r="CB145" s="71">
        <f t="shared" si="92"/>
        <v>2255696.86351729</v>
      </c>
      <c r="CC145" s="71">
        <f t="shared" si="92"/>
        <v>2138795.2170967632</v>
      </c>
      <c r="CD145" s="71">
        <f t="shared" si="92"/>
        <v>2017802.0130515182</v>
      </c>
      <c r="CE145" s="71">
        <f t="shared" si="92"/>
        <v>1892574.0468646896</v>
      </c>
      <c r="CF145" s="71">
        <f t="shared" si="92"/>
        <v>1762963.1018613218</v>
      </c>
      <c r="CG145" s="71">
        <f t="shared" si="92"/>
        <v>1628815.7737828363</v>
      </c>
      <c r="CH145" s="71">
        <f t="shared" si="92"/>
        <v>1489973.2892216039</v>
      </c>
      <c r="CI145" s="71">
        <f t="shared" si="92"/>
        <v>1346271.3177007283</v>
      </c>
      <c r="CJ145" s="71">
        <f t="shared" si="92"/>
        <v>1197539.7771766221</v>
      </c>
      <c r="CK145" s="71">
        <f t="shared" si="92"/>
        <v>1043602.632734172</v>
      </c>
      <c r="CL145" s="71">
        <f t="shared" si="92"/>
        <v>884277.68823623634</v>
      </c>
      <c r="CM145" s="71">
        <f t="shared" si="92"/>
        <v>719376.37068087282</v>
      </c>
      <c r="CN145" s="71">
        <f t="shared" si="92"/>
        <v>548703.50701107166</v>
      </c>
      <c r="CO145" s="71">
        <f t="shared" si="92"/>
        <v>372057.09311282745</v>
      </c>
      <c r="CP145" s="71">
        <f t="shared" si="92"/>
        <v>189228.05472814466</v>
      </c>
      <c r="CQ145" s="71">
        <f t="shared" si="92"/>
        <v>-2.0081643015146255E-9</v>
      </c>
    </row>
    <row r="146" spans="1:95" ht="21">
      <c r="A146" s="43"/>
      <c r="B146" s="26" t="s">
        <v>32</v>
      </c>
      <c r="C146" s="27"/>
      <c r="D146" s="71">
        <f t="shared" si="89"/>
        <v>-26697.311883916456</v>
      </c>
      <c r="BR146" s="71">
        <f>BR142*BR127</f>
        <v>-1990.063862072253</v>
      </c>
      <c r="BS146" s="71">
        <f t="shared" ref="BS146:CQ146" si="93">BS142*BS127</f>
        <v>-1871.9441840581819</v>
      </c>
      <c r="BT146" s="71">
        <f t="shared" si="93"/>
        <v>-1760.8354661444662</v>
      </c>
      <c r="BU146" s="71">
        <f t="shared" si="93"/>
        <v>-1656.3215747760946</v>
      </c>
      <c r="BV146" s="71">
        <f t="shared" si="93"/>
        <v>-1558.0110758875878</v>
      </c>
      <c r="BW146" s="71">
        <f t="shared" si="93"/>
        <v>-1465.5357688717791</v>
      </c>
      <c r="BX146" s="71">
        <f t="shared" si="93"/>
        <v>-1378.5493075644615</v>
      </c>
      <c r="BY146" s="71">
        <f t="shared" si="93"/>
        <v>-1296.7259030801067</v>
      </c>
      <c r="BZ146" s="71">
        <f t="shared" si="93"/>
        <v>-1219.7591036403976</v>
      </c>
      <c r="CA146" s="71">
        <f t="shared" si="93"/>
        <v>-1147.3606468256964</v>
      </c>
      <c r="CB146" s="71">
        <f t="shared" si="93"/>
        <v>-1079.2593799508006</v>
      </c>
      <c r="CC146" s="71">
        <f t="shared" si="93"/>
        <v>-1015.2002445214946</v>
      </c>
      <c r="CD146" s="71">
        <f t="shared" si="93"/>
        <v>-954.94332096838912</v>
      </c>
      <c r="CE146" s="71">
        <f t="shared" si="93"/>
        <v>-898.26293008032087</v>
      </c>
      <c r="CF146" s="71">
        <f t="shared" si="93"/>
        <v>-844.94678777191325</v>
      </c>
      <c r="CG146" s="71">
        <f t="shared" si="93"/>
        <v>-794.79521001967203</v>
      </c>
      <c r="CH146" s="71">
        <f t="shared" si="93"/>
        <v>-747.6203649888738</v>
      </c>
      <c r="CI146" s="71">
        <f t="shared" si="93"/>
        <v>-703.24556955025309</v>
      </c>
      <c r="CJ146" s="71">
        <f t="shared" si="93"/>
        <v>-661.50462755173828</v>
      </c>
      <c r="CK146" s="71">
        <f t="shared" si="93"/>
        <v>-622.24120736688781</v>
      </c>
      <c r="CL146" s="71">
        <f t="shared" si="93"/>
        <v>-585.30825638875717</v>
      </c>
      <c r="CM146" s="71">
        <f t="shared" si="93"/>
        <v>-550.56745027632132</v>
      </c>
      <c r="CN146" s="71">
        <f t="shared" si="93"/>
        <v>-517.8886748907172</v>
      </c>
      <c r="CO146" s="71">
        <f t="shared" si="93"/>
        <v>-487.1495389810151</v>
      </c>
      <c r="CP146" s="71">
        <f t="shared" si="93"/>
        <v>-458.23491579438917</v>
      </c>
      <c r="CQ146" s="71">
        <f t="shared" si="93"/>
        <v>-431.03651189388506</v>
      </c>
    </row>
    <row r="147" spans="1:95">
      <c r="A147" s="27"/>
      <c r="B147" s="27"/>
      <c r="C147" s="27" t="s">
        <v>29</v>
      </c>
      <c r="D147" s="71">
        <f t="shared" si="89"/>
        <v>-15441.83441918622</v>
      </c>
      <c r="BR147" s="71">
        <f>BR143*BR127</f>
        <v>-813.61307409746712</v>
      </c>
      <c r="BS147" s="71">
        <f t="shared" ref="BS147:CQ147" si="94">BS143*BS127</f>
        <v>-792.10754556568395</v>
      </c>
      <c r="BT147" s="71">
        <f t="shared" si="94"/>
        <v>-771.17045401230621</v>
      </c>
      <c r="BU147" s="71">
        <f t="shared" si="94"/>
        <v>-750.78677443583581</v>
      </c>
      <c r="BV147" s="71">
        <f t="shared" si="94"/>
        <v>-730.94187897760332</v>
      </c>
      <c r="BW147" s="71">
        <f t="shared" si="94"/>
        <v>-711.62152642443755</v>
      </c>
      <c r="BX147" s="71">
        <f t="shared" si="94"/>
        <v>-692.8118519887995</v>
      </c>
      <c r="BY147" s="71">
        <f t="shared" si="94"/>
        <v>-674.49935735905126</v>
      </c>
      <c r="BZ147" s="71">
        <f t="shared" si="94"/>
        <v>-656.67090101271594</v>
      </c>
      <c r="CA147" s="71">
        <f t="shared" si="94"/>
        <v>-639.31368878577837</v>
      </c>
      <c r="CB147" s="71">
        <f t="shared" si="94"/>
        <v>-622.415264691262</v>
      </c>
      <c r="CC147" s="71">
        <f t="shared" si="94"/>
        <v>-605.96350198048742</v>
      </c>
      <c r="CD147" s="71">
        <f t="shared" si="94"/>
        <v>-589.94659444060244</v>
      </c>
      <c r="CE147" s="71">
        <f t="shared" si="94"/>
        <v>-574.35304792213674</v>
      </c>
      <c r="CF147" s="71">
        <f t="shared" si="94"/>
        <v>-559.17167209050092</v>
      </c>
      <c r="CG147" s="71">
        <f t="shared" si="94"/>
        <v>-544.39157239551173</v>
      </c>
      <c r="CH147" s="71">
        <f t="shared" si="94"/>
        <v>-530.00214225317893</v>
      </c>
      <c r="CI147" s="71">
        <f t="shared" si="94"/>
        <v>-515.99305543414573</v>
      </c>
      <c r="CJ147" s="71">
        <f t="shared" si="94"/>
        <v>-502.35425865331655</v>
      </c>
      <c r="CK147" s="71">
        <f t="shared" si="94"/>
        <v>-489.07596435535942</v>
      </c>
      <c r="CL147" s="71">
        <f t="shared" si="94"/>
        <v>-476.14864369090111</v>
      </c>
      <c r="CM147" s="71">
        <f t="shared" si="94"/>
        <v>-463.56301967837715</v>
      </c>
      <c r="CN147" s="71">
        <f t="shared" si="94"/>
        <v>-451.31006054662811</v>
      </c>
      <c r="CO147" s="71">
        <f t="shared" si="94"/>
        <v>-439.38097325346638</v>
      </c>
      <c r="CP147" s="71">
        <f t="shared" si="94"/>
        <v>-427.76719717555994</v>
      </c>
      <c r="CQ147" s="71">
        <f t="shared" si="94"/>
        <v>-416.46039796510632</v>
      </c>
    </row>
    <row r="148" spans="1:95">
      <c r="A148" s="27"/>
      <c r="B148" s="27"/>
      <c r="C148" s="27" t="s">
        <v>30</v>
      </c>
      <c r="D148" s="71">
        <f t="shared" si="89"/>
        <v>-11255.477464730231</v>
      </c>
      <c r="BR148" s="71">
        <f>BR144*BR127</f>
        <v>-1176.4507879747857</v>
      </c>
      <c r="BS148" s="71">
        <f t="shared" ref="BS148:CQ148" si="95">BS144*BS127</f>
        <v>-1079.836638492498</v>
      </c>
      <c r="BT148" s="71">
        <f t="shared" si="95"/>
        <v>-989.66501213215986</v>
      </c>
      <c r="BU148" s="71">
        <f t="shared" si="95"/>
        <v>-905.53480034025858</v>
      </c>
      <c r="BV148" s="71">
        <f t="shared" si="95"/>
        <v>-827.06919690998461</v>
      </c>
      <c r="BW148" s="71">
        <f t="shared" si="95"/>
        <v>-753.91424244734151</v>
      </c>
      <c r="BX148" s="71">
        <f t="shared" si="95"/>
        <v>-685.73745557566178</v>
      </c>
      <c r="BY148" s="71">
        <f t="shared" si="95"/>
        <v>-622.22654572105523</v>
      </c>
      <c r="BZ148" s="71">
        <f t="shared" si="95"/>
        <v>-563.08820262768165</v>
      </c>
      <c r="CA148" s="71">
        <f t="shared" si="95"/>
        <v>-508.0469580399178</v>
      </c>
      <c r="CB148" s="71">
        <f t="shared" si="95"/>
        <v>-456.84411525953874</v>
      </c>
      <c r="CC148" s="71">
        <f t="shared" si="95"/>
        <v>-409.23674254100706</v>
      </c>
      <c r="CD148" s="71">
        <f t="shared" si="95"/>
        <v>-364.99672652778662</v>
      </c>
      <c r="CE148" s="71">
        <f t="shared" si="95"/>
        <v>-323.90988215818419</v>
      </c>
      <c r="CF148" s="71">
        <f t="shared" si="95"/>
        <v>-285.77511568141222</v>
      </c>
      <c r="CG148" s="71">
        <f t="shared" si="95"/>
        <v>-250.40363762416027</v>
      </c>
      <c r="CH148" s="71">
        <f t="shared" si="95"/>
        <v>-217.61822273569493</v>
      </c>
      <c r="CI148" s="71">
        <f t="shared" si="95"/>
        <v>-187.25251411610733</v>
      </c>
      <c r="CJ148" s="71">
        <f t="shared" si="95"/>
        <v>-159.15036889842182</v>
      </c>
      <c r="CK148" s="71">
        <f t="shared" si="95"/>
        <v>-133.1652430115283</v>
      </c>
      <c r="CL148" s="71">
        <f t="shared" si="95"/>
        <v>-109.15961269785599</v>
      </c>
      <c r="CM148" s="71">
        <f t="shared" si="95"/>
        <v>-87.004430597944221</v>
      </c>
      <c r="CN148" s="71">
        <f t="shared" si="95"/>
        <v>-66.578614344089004</v>
      </c>
      <c r="CO148" s="71">
        <f t="shared" si="95"/>
        <v>-47.768565727548697</v>
      </c>
      <c r="CP148" s="71">
        <f t="shared" si="95"/>
        <v>-30.467718618829245</v>
      </c>
      <c r="CQ148" s="71">
        <f t="shared" si="95"/>
        <v>-14.576113928778719</v>
      </c>
    </row>
    <row r="152" spans="1:95" s="157" customFormat="1" ht="21">
      <c r="A152" s="158" t="s">
        <v>173</v>
      </c>
    </row>
    <row r="154" spans="1:95" ht="21">
      <c r="A154" s="347" t="s">
        <v>1</v>
      </c>
      <c r="B154" s="348"/>
      <c r="C154" s="348"/>
      <c r="D154" s="349"/>
      <c r="F154" s="321" t="s">
        <v>2</v>
      </c>
      <c r="G154" s="322"/>
    </row>
    <row r="155" spans="1:95">
      <c r="A155" s="55" t="s">
        <v>3</v>
      </c>
      <c r="B155" s="22"/>
      <c r="C155" s="22"/>
      <c r="D155" s="131">
        <f>Data!D38</f>
        <v>1981</v>
      </c>
      <c r="F155" s="6" t="s">
        <v>4</v>
      </c>
      <c r="G155" s="7">
        <f>D161</f>
        <v>2146031</v>
      </c>
    </row>
    <row r="156" spans="1:95">
      <c r="A156" s="4" t="s">
        <v>5</v>
      </c>
      <c r="B156" s="126"/>
      <c r="C156" s="126"/>
      <c r="D156" s="8">
        <f>Data!F38</f>
        <v>0.06</v>
      </c>
      <c r="F156" s="6" t="s">
        <v>6</v>
      </c>
      <c r="G156" s="9">
        <f>D181*-1</f>
        <v>5283987.6879688194</v>
      </c>
    </row>
    <row r="157" spans="1:95">
      <c r="A157" s="4" t="s">
        <v>7</v>
      </c>
      <c r="B157" s="126"/>
      <c r="C157" s="126"/>
      <c r="D157" s="10">
        <f>Data!G38</f>
        <v>8</v>
      </c>
      <c r="F157" s="11" t="s">
        <v>8</v>
      </c>
      <c r="G157" s="12">
        <f>D185*-1</f>
        <v>777309.17096580961</v>
      </c>
    </row>
    <row r="158" spans="1:95">
      <c r="A158" s="4" t="s">
        <v>9</v>
      </c>
      <c r="B158" s="126"/>
      <c r="C158" s="126"/>
      <c r="D158" s="10">
        <f>Data!E38</f>
        <v>26</v>
      </c>
    </row>
    <row r="159" spans="1:95">
      <c r="A159" s="4" t="s">
        <v>10</v>
      </c>
      <c r="B159" s="126"/>
      <c r="C159" s="126"/>
      <c r="D159" s="10">
        <v>2</v>
      </c>
      <c r="F159" s="321" t="s">
        <v>11</v>
      </c>
      <c r="G159" s="322"/>
      <c r="I159" s="120" t="s">
        <v>111</v>
      </c>
    </row>
    <row r="160" spans="1:95">
      <c r="A160" s="4" t="s">
        <v>12</v>
      </c>
      <c r="B160" s="126"/>
      <c r="C160" s="126"/>
      <c r="D160" s="10">
        <f>(D158-D157)*2</f>
        <v>36</v>
      </c>
      <c r="F160" s="6" t="s">
        <v>4</v>
      </c>
      <c r="G160" s="7">
        <f>D161</f>
        <v>2146031</v>
      </c>
      <c r="I160" s="58" t="s">
        <v>110</v>
      </c>
    </row>
    <row r="161" spans="1:93">
      <c r="A161" s="4" t="s">
        <v>164</v>
      </c>
      <c r="B161" s="126"/>
      <c r="C161" s="126"/>
      <c r="D161" s="147">
        <f>Data!B38</f>
        <v>2146031</v>
      </c>
      <c r="F161" s="6" t="s">
        <v>14</v>
      </c>
      <c r="G161" s="9">
        <f>D171</f>
        <v>1303712</v>
      </c>
      <c r="I161" s="179" t="s">
        <v>175</v>
      </c>
      <c r="J161" s="180" t="s">
        <v>44</v>
      </c>
      <c r="K161" s="181" t="s">
        <v>45</v>
      </c>
    </row>
    <row r="162" spans="1:93">
      <c r="A162" s="13" t="s">
        <v>15</v>
      </c>
      <c r="B162" s="14"/>
      <c r="C162" s="14"/>
      <c r="D162" s="15">
        <v>0.1275</v>
      </c>
      <c r="F162" s="6" t="s">
        <v>6</v>
      </c>
      <c r="G162" s="9">
        <f>D192*-1</f>
        <v>2006856.4273876348</v>
      </c>
      <c r="I162" s="182" t="s">
        <v>177</v>
      </c>
      <c r="J162" s="183">
        <v>1.2148170459575713</v>
      </c>
      <c r="K162" s="184">
        <v>0.70864327680858341</v>
      </c>
    </row>
    <row r="163" spans="1:93">
      <c r="F163" s="11" t="s">
        <v>8</v>
      </c>
      <c r="G163" s="12">
        <f>D196*-1</f>
        <v>17166.334125279594</v>
      </c>
      <c r="I163" s="185" t="s">
        <v>178</v>
      </c>
      <c r="J163" s="186">
        <v>0.676839362028686</v>
      </c>
      <c r="K163" s="187">
        <v>0.78352616646845819</v>
      </c>
    </row>
    <row r="164" spans="1:93" ht="20.399999999999999">
      <c r="A164" s="354" t="s">
        <v>16</v>
      </c>
      <c r="B164" s="355"/>
      <c r="C164" s="355"/>
      <c r="D164" s="356"/>
      <c r="F164" s="16"/>
      <c r="I164" s="182" t="s">
        <v>179</v>
      </c>
      <c r="J164" s="183">
        <v>0.28124073495024804</v>
      </c>
      <c r="K164" s="184">
        <v>0.41552065486748163</v>
      </c>
    </row>
    <row r="165" spans="1:93">
      <c r="A165" s="132" t="s">
        <v>17</v>
      </c>
      <c r="B165" s="133"/>
      <c r="C165" s="133"/>
      <c r="D165" s="134">
        <f>Data!H38</f>
        <v>2009</v>
      </c>
      <c r="F165" s="323" t="s">
        <v>109</v>
      </c>
      <c r="G165" s="324"/>
      <c r="I165" s="185" t="s">
        <v>180</v>
      </c>
      <c r="J165" s="186">
        <v>2.4695076595959931E-2</v>
      </c>
      <c r="K165" s="187">
        <v>2.4695076595959931E-2</v>
      </c>
    </row>
    <row r="166" spans="1:93">
      <c r="A166" s="135" t="s">
        <v>5</v>
      </c>
      <c r="B166" s="136"/>
      <c r="C166" s="136"/>
      <c r="D166" s="145">
        <f>Data!N38</f>
        <v>3.5000000000000003E-2</v>
      </c>
      <c r="F166" s="121" t="s">
        <v>44</v>
      </c>
      <c r="G166" s="118" t="s">
        <v>45</v>
      </c>
      <c r="I166" s="182" t="s">
        <v>181</v>
      </c>
      <c r="J166" s="183">
        <v>0.8890227574545575</v>
      </c>
      <c r="K166" s="184">
        <v>0.64207199149495819</v>
      </c>
    </row>
    <row r="167" spans="1:93">
      <c r="A167" s="135" t="s">
        <v>7</v>
      </c>
      <c r="B167" s="136"/>
      <c r="C167" s="136"/>
      <c r="D167" s="137">
        <f>Data!O38</f>
        <v>33</v>
      </c>
      <c r="F167" s="119">
        <f>(1-((D156/D159)/D172))*(1-(((1/((1+D172)^(D159*D157)))-(1/((1+D172)^(D159*D158))))/(D172*(D159*D158-D159*D157))))</f>
        <v>-0.11922744744472927</v>
      </c>
      <c r="G167" s="122">
        <f>(1-((D166/D169)/D172))*(1-(((1/((1+D172)^(D169*D167)))-(1/((1+D172)^(D169*D168))))/(D172*(D169*D168-D169*D167))))+((D161-D171)/D161)</f>
        <v>0.6412589828341686</v>
      </c>
      <c r="I167" s="185" t="s">
        <v>182</v>
      </c>
      <c r="J167" s="188">
        <v>-0.11922744744472927</v>
      </c>
      <c r="K167" s="189">
        <v>0.12436473257865784</v>
      </c>
    </row>
    <row r="168" spans="1:93">
      <c r="A168" s="135" t="s">
        <v>9</v>
      </c>
      <c r="B168" s="136"/>
      <c r="C168" s="136"/>
      <c r="D168" s="137">
        <f>Data!M38</f>
        <v>46</v>
      </c>
    </row>
    <row r="169" spans="1:93">
      <c r="A169" s="135" t="s">
        <v>10</v>
      </c>
      <c r="B169" s="136"/>
      <c r="C169" s="136"/>
      <c r="D169" s="137">
        <v>2</v>
      </c>
    </row>
    <row r="170" spans="1:93">
      <c r="A170" s="135" t="s">
        <v>12</v>
      </c>
      <c r="B170" s="136"/>
      <c r="C170" s="136"/>
      <c r="D170" s="137">
        <f>(D168-D167)*D169</f>
        <v>26</v>
      </c>
    </row>
    <row r="171" spans="1:93">
      <c r="A171" s="135" t="s">
        <v>165</v>
      </c>
      <c r="B171" s="136"/>
      <c r="C171" s="136"/>
      <c r="D171" s="177">
        <f>Data!L38</f>
        <v>1303712</v>
      </c>
    </row>
    <row r="172" spans="1:93">
      <c r="A172" s="196" t="s">
        <v>187</v>
      </c>
      <c r="B172" s="14"/>
      <c r="C172" s="14"/>
      <c r="D172" s="195">
        <f>(1.05^0.5)-1</f>
        <v>2.4695076595959931E-2</v>
      </c>
    </row>
    <row r="174" spans="1:93" ht="46.8">
      <c r="A174" s="302" t="s">
        <v>43</v>
      </c>
      <c r="E174" s="53" t="s">
        <v>25</v>
      </c>
      <c r="AO174" s="21" t="s">
        <v>21</v>
      </c>
      <c r="AR174" s="21" t="s">
        <v>89</v>
      </c>
      <c r="BB174" s="51"/>
      <c r="BD174" s="21" t="s">
        <v>40</v>
      </c>
      <c r="CC174" s="21" t="s">
        <v>149</v>
      </c>
      <c r="CO174" s="51"/>
    </row>
    <row r="175" spans="1:93">
      <c r="A175" s="2" t="s">
        <v>23</v>
      </c>
      <c r="E175" s="139" t="s">
        <v>217</v>
      </c>
      <c r="F175" s="24">
        <v>33054</v>
      </c>
      <c r="G175" s="24">
        <v>33238</v>
      </c>
      <c r="H175" s="24">
        <v>33419</v>
      </c>
      <c r="I175" s="24">
        <v>33603</v>
      </c>
      <c r="J175" s="24">
        <v>33785</v>
      </c>
      <c r="K175" s="24">
        <v>33969</v>
      </c>
      <c r="L175" s="24">
        <v>34150</v>
      </c>
      <c r="M175" s="24">
        <v>34334</v>
      </c>
      <c r="N175" s="24">
        <v>34515</v>
      </c>
      <c r="O175" s="24">
        <v>34699</v>
      </c>
      <c r="P175" s="24">
        <v>34880</v>
      </c>
      <c r="Q175" s="24">
        <v>35064</v>
      </c>
      <c r="R175" s="24">
        <v>35246</v>
      </c>
      <c r="S175" s="24">
        <v>35430</v>
      </c>
      <c r="T175" s="24">
        <v>35611</v>
      </c>
      <c r="U175" s="24">
        <v>35795</v>
      </c>
      <c r="V175" s="24">
        <v>35976</v>
      </c>
      <c r="W175" s="24">
        <v>36160</v>
      </c>
      <c r="X175" s="24">
        <v>36341</v>
      </c>
      <c r="Y175" s="24">
        <v>36525</v>
      </c>
      <c r="Z175" s="24">
        <v>36707</v>
      </c>
      <c r="AA175" s="24">
        <v>36891</v>
      </c>
      <c r="AB175" s="24">
        <v>37072</v>
      </c>
      <c r="AC175" s="24">
        <v>37256</v>
      </c>
      <c r="AD175" s="24">
        <v>37437</v>
      </c>
      <c r="AE175" s="24">
        <v>37621</v>
      </c>
      <c r="AF175" s="24">
        <v>37802</v>
      </c>
      <c r="AG175" s="24">
        <v>37986</v>
      </c>
      <c r="AH175" s="24">
        <v>38168</v>
      </c>
      <c r="AI175" s="24">
        <v>38352</v>
      </c>
      <c r="AJ175" s="24">
        <v>38533</v>
      </c>
      <c r="AK175" s="24">
        <v>38717</v>
      </c>
      <c r="AL175" s="24">
        <v>38898</v>
      </c>
      <c r="AM175" s="24">
        <v>39082</v>
      </c>
      <c r="AN175" s="24">
        <v>39263</v>
      </c>
      <c r="AO175" s="24">
        <v>39447</v>
      </c>
      <c r="AP175" s="24">
        <v>39629</v>
      </c>
      <c r="AQ175" s="24">
        <v>39813</v>
      </c>
      <c r="AR175" s="24">
        <v>39994</v>
      </c>
      <c r="AS175" s="24">
        <v>40178</v>
      </c>
      <c r="AT175" s="24">
        <v>40359</v>
      </c>
      <c r="AU175" s="24">
        <v>40543</v>
      </c>
      <c r="AV175" s="24">
        <v>40724</v>
      </c>
      <c r="AW175" s="24">
        <v>40908</v>
      </c>
      <c r="AX175" s="24">
        <v>41090</v>
      </c>
      <c r="AY175" s="24">
        <v>41274</v>
      </c>
      <c r="AZ175" s="24">
        <v>41455</v>
      </c>
      <c r="BA175" s="24">
        <v>41639</v>
      </c>
      <c r="BB175" s="24">
        <v>41820</v>
      </c>
      <c r="BC175" s="24">
        <v>42004</v>
      </c>
      <c r="BD175" s="24">
        <v>42185</v>
      </c>
      <c r="BE175" s="24">
        <v>42369</v>
      </c>
      <c r="BF175" s="24">
        <v>42551</v>
      </c>
      <c r="BG175" s="24">
        <v>42735</v>
      </c>
      <c r="BH175" s="24">
        <v>42916</v>
      </c>
      <c r="BI175" s="24">
        <v>43100</v>
      </c>
      <c r="BJ175" s="24">
        <v>43281</v>
      </c>
      <c r="BK175" s="24">
        <v>43465</v>
      </c>
      <c r="BL175" s="24">
        <v>43646</v>
      </c>
      <c r="BM175" s="24">
        <v>43830</v>
      </c>
      <c r="BN175" s="24">
        <v>44012</v>
      </c>
      <c r="BO175" s="24">
        <v>44196</v>
      </c>
      <c r="BP175" s="24">
        <v>44377</v>
      </c>
      <c r="BQ175" s="24">
        <v>44561</v>
      </c>
      <c r="BR175" s="24">
        <v>44742</v>
      </c>
      <c r="BS175" s="24">
        <v>44926</v>
      </c>
      <c r="BT175" s="24">
        <v>45107</v>
      </c>
      <c r="BU175" s="24">
        <v>45291</v>
      </c>
      <c r="BV175" s="24">
        <v>45473</v>
      </c>
      <c r="BW175" s="24">
        <v>45657</v>
      </c>
      <c r="BX175" s="24">
        <v>45838</v>
      </c>
      <c r="BY175" s="24">
        <v>46022</v>
      </c>
      <c r="BZ175" s="24">
        <v>46203</v>
      </c>
      <c r="CA175" s="24">
        <v>46387</v>
      </c>
      <c r="CB175" s="24">
        <v>46568</v>
      </c>
      <c r="CC175" s="24">
        <v>46752</v>
      </c>
      <c r="CD175" s="24"/>
      <c r="CE175" s="24"/>
      <c r="CF175" s="24"/>
      <c r="CG175" s="24"/>
      <c r="CH175" s="24"/>
      <c r="CI175" s="24"/>
      <c r="CJ175" s="24"/>
      <c r="CK175" s="24"/>
      <c r="CL175" s="24"/>
      <c r="CM175" s="24"/>
      <c r="CN175" s="24"/>
      <c r="CO175" s="24"/>
    </row>
    <row r="176" spans="1:93">
      <c r="A176" s="2" t="s">
        <v>38</v>
      </c>
      <c r="F176">
        <v>17</v>
      </c>
      <c r="G176">
        <v>18</v>
      </c>
      <c r="H176">
        <v>19</v>
      </c>
      <c r="I176">
        <v>20</v>
      </c>
      <c r="J176">
        <v>21</v>
      </c>
      <c r="K176">
        <v>22</v>
      </c>
      <c r="L176">
        <v>23</v>
      </c>
      <c r="M176">
        <v>24</v>
      </c>
      <c r="N176">
        <v>25</v>
      </c>
      <c r="O176">
        <v>26</v>
      </c>
      <c r="P176">
        <v>27</v>
      </c>
      <c r="Q176">
        <v>28</v>
      </c>
      <c r="R176">
        <v>29</v>
      </c>
      <c r="S176">
        <v>30</v>
      </c>
      <c r="T176">
        <v>31</v>
      </c>
      <c r="U176">
        <v>32</v>
      </c>
      <c r="V176">
        <v>33</v>
      </c>
      <c r="W176">
        <v>34</v>
      </c>
      <c r="X176">
        <v>35</v>
      </c>
      <c r="Y176">
        <v>36</v>
      </c>
      <c r="Z176">
        <v>37</v>
      </c>
      <c r="AA176">
        <v>38</v>
      </c>
      <c r="AB176">
        <v>39</v>
      </c>
      <c r="AC176">
        <v>40</v>
      </c>
      <c r="AD176">
        <v>41</v>
      </c>
      <c r="AE176">
        <v>42</v>
      </c>
      <c r="AF176">
        <v>43</v>
      </c>
      <c r="AG176">
        <v>44</v>
      </c>
      <c r="AH176">
        <v>45</v>
      </c>
      <c r="AI176">
        <v>46</v>
      </c>
      <c r="AJ176">
        <v>47</v>
      </c>
      <c r="AK176">
        <v>48</v>
      </c>
      <c r="AL176">
        <v>49</v>
      </c>
      <c r="AM176">
        <v>50</v>
      </c>
      <c r="AN176">
        <v>51</v>
      </c>
      <c r="AO176">
        <v>52</v>
      </c>
      <c r="AP176">
        <v>53</v>
      </c>
      <c r="AQ176">
        <v>54</v>
      </c>
      <c r="AR176">
        <v>55</v>
      </c>
      <c r="AS176">
        <v>56</v>
      </c>
      <c r="AT176">
        <v>57</v>
      </c>
      <c r="AU176">
        <v>58</v>
      </c>
      <c r="AV176">
        <v>59</v>
      </c>
      <c r="AW176">
        <v>60</v>
      </c>
      <c r="AX176">
        <v>61</v>
      </c>
      <c r="AY176">
        <v>62</v>
      </c>
      <c r="AZ176">
        <v>63</v>
      </c>
      <c r="BA176">
        <v>64</v>
      </c>
      <c r="BB176">
        <v>65</v>
      </c>
      <c r="BC176">
        <v>66</v>
      </c>
      <c r="BD176">
        <v>67</v>
      </c>
      <c r="BE176">
        <v>68</v>
      </c>
      <c r="BF176">
        <v>69</v>
      </c>
      <c r="BG176">
        <v>70</v>
      </c>
      <c r="BH176">
        <v>71</v>
      </c>
      <c r="BI176">
        <v>72</v>
      </c>
      <c r="BJ176">
        <v>73</v>
      </c>
      <c r="BK176">
        <v>74</v>
      </c>
      <c r="BL176">
        <v>75</v>
      </c>
      <c r="BM176">
        <v>76</v>
      </c>
      <c r="BN176">
        <v>77</v>
      </c>
      <c r="BO176">
        <v>78</v>
      </c>
      <c r="BP176">
        <v>79</v>
      </c>
      <c r="BQ176">
        <v>80</v>
      </c>
      <c r="BR176">
        <v>81</v>
      </c>
      <c r="BS176">
        <v>82</v>
      </c>
      <c r="BT176">
        <v>83</v>
      </c>
      <c r="BU176">
        <v>84</v>
      </c>
      <c r="BV176">
        <v>85</v>
      </c>
      <c r="BW176">
        <v>86</v>
      </c>
      <c r="BX176">
        <v>87</v>
      </c>
      <c r="BY176">
        <v>88</v>
      </c>
      <c r="BZ176">
        <v>89</v>
      </c>
      <c r="CA176">
        <v>90</v>
      </c>
      <c r="CB176">
        <v>91</v>
      </c>
      <c r="CC176">
        <v>92</v>
      </c>
    </row>
    <row r="177" spans="1:93">
      <c r="A177" s="2" t="s">
        <v>26</v>
      </c>
      <c r="F177" s="138">
        <f>1/((1+($D$11/$D$8))^(F176))</f>
        <v>0.35337839300190277</v>
      </c>
      <c r="G177" s="138">
        <f>1/((1+($D$11/$D$8))^(G176))</f>
        <v>0.33240371837259219</v>
      </c>
      <c r="H177" s="138">
        <f t="shared" ref="H177:BS177" si="96">1/((1+($D$11/$D$8))^(H176))</f>
        <v>0.31267398962712084</v>
      </c>
      <c r="I177" s="138">
        <f t="shared" si="96"/>
        <v>0.29411531335445479</v>
      </c>
      <c r="J177" s="138">
        <f t="shared" si="96"/>
        <v>0.27665818206608483</v>
      </c>
      <c r="K177" s="138">
        <f t="shared" si="96"/>
        <v>0.26023721387083515</v>
      </c>
      <c r="L177" s="138">
        <f t="shared" si="96"/>
        <v>0.24479090760119948</v>
      </c>
      <c r="M177" s="138">
        <f t="shared" si="96"/>
        <v>0.23026141247408474</v>
      </c>
      <c r="N177" s="138">
        <f t="shared" si="96"/>
        <v>0.21659431142327601</v>
      </c>
      <c r="O177" s="138">
        <f t="shared" si="96"/>
        <v>0.20373841729214187</v>
      </c>
      <c r="P177" s="138">
        <f t="shared" si="96"/>
        <v>0.19164558112326391</v>
      </c>
      <c r="Q177" s="138">
        <f t="shared" si="96"/>
        <v>0.18027051182698139</v>
      </c>
      <c r="R177" s="138">
        <f t="shared" si="96"/>
        <v>0.16957060655345818</v>
      </c>
      <c r="S177" s="138">
        <f t="shared" si="96"/>
        <v>0.15950579113296792</v>
      </c>
      <c r="T177" s="138">
        <f t="shared" si="96"/>
        <v>0.15003836998680078</v>
      </c>
      <c r="U177" s="138">
        <f t="shared" si="96"/>
        <v>0.14113288494666618</v>
      </c>
      <c r="V177" s="138">
        <f t="shared" si="96"/>
        <v>0.13275598245382955</v>
      </c>
      <c r="W177" s="138">
        <f t="shared" si="96"/>
        <v>0.12487628864060722</v>
      </c>
      <c r="X177" s="138">
        <f t="shared" si="96"/>
        <v>0.11746429182636368</v>
      </c>
      <c r="Y177" s="138">
        <f t="shared" si="96"/>
        <v>0.11049223198792557</v>
      </c>
      <c r="Z177" s="138">
        <f t="shared" si="96"/>
        <v>0.10393399679044829</v>
      </c>
      <c r="AA177" s="138">
        <f t="shared" si="96"/>
        <v>9.7765023789340905E-2</v>
      </c>
      <c r="AB177" s="138">
        <f t="shared" si="96"/>
        <v>9.1962208436968201E-2</v>
      </c>
      <c r="AC177" s="138">
        <f t="shared" si="96"/>
        <v>8.6503817549589135E-2</v>
      </c>
      <c r="AD177" s="138">
        <f t="shared" si="96"/>
        <v>8.1369407910440353E-2</v>
      </c>
      <c r="AE177" s="138">
        <f t="shared" si="96"/>
        <v>7.653974970411094E-2</v>
      </c>
      <c r="AF177" s="138">
        <f t="shared" si="96"/>
        <v>7.1996754495448165E-2</v>
      </c>
      <c r="AG177" s="138">
        <f t="shared" si="96"/>
        <v>6.7723407483254797E-2</v>
      </c>
      <c r="AH177" s="138">
        <f t="shared" si="96"/>
        <v>6.3703703775049192E-2</v>
      </c>
      <c r="AI177" s="138">
        <f t="shared" si="96"/>
        <v>5.992258844421898E-2</v>
      </c>
      <c r="AJ177" s="138">
        <f t="shared" si="96"/>
        <v>5.6365900145065345E-2</v>
      </c>
      <c r="AK177" s="138">
        <f t="shared" si="96"/>
        <v>5.3020318074560591E-2</v>
      </c>
      <c r="AL177" s="138">
        <f t="shared" si="96"/>
        <v>4.9873312082175325E-2</v>
      </c>
      <c r="AM177" s="138">
        <f t="shared" si="96"/>
        <v>4.6913095740923082E-2</v>
      </c>
      <c r="AN177" s="138">
        <f t="shared" si="96"/>
        <v>4.412858220385954E-2</v>
      </c>
      <c r="AO177" s="138">
        <f t="shared" si="96"/>
        <v>4.1509342680706947E-2</v>
      </c>
      <c r="AP177" s="138">
        <f t="shared" si="96"/>
        <v>3.9045567379086571E-2</v>
      </c>
      <c r="AQ177" s="138">
        <f t="shared" si="96"/>
        <v>3.6728028764073543E-2</v>
      </c>
      <c r="AR177" s="138">
        <f t="shared" si="96"/>
        <v>3.4548046998470076E-2</v>
      </c>
      <c r="AS177" s="138">
        <f t="shared" si="96"/>
        <v>3.2497457434361846E-2</v>
      </c>
      <c r="AT177" s="138">
        <f t="shared" si="96"/>
        <v>3.05685800342036E-2</v>
      </c>
      <c r="AU177" s="138">
        <f t="shared" si="96"/>
        <v>2.8754190606907724E-2</v>
      </c>
      <c r="AV177" s="138">
        <f t="shared" si="96"/>
        <v>2.7047493751206585E-2</v>
      </c>
      <c r="AW177" s="138">
        <f t="shared" si="96"/>
        <v>2.5442097404953991E-2</v>
      </c>
      <c r="AX177" s="138">
        <f t="shared" si="96"/>
        <v>2.3931988905045609E-2</v>
      </c>
      <c r="AY177" s="138">
        <f t="shared" si="96"/>
        <v>2.2511512468296128E-2</v>
      </c>
      <c r="AZ177" s="138">
        <f t="shared" si="96"/>
        <v>2.117534800893249E-2</v>
      </c>
      <c r="BA177" s="138">
        <f t="shared" si="96"/>
        <v>1.9918491213368913E-2</v>
      </c>
      <c r="BB177" s="138">
        <f t="shared" si="96"/>
        <v>1.873623479763796E-2</v>
      </c>
      <c r="BC177" s="138">
        <f t="shared" si="96"/>
        <v>1.7624150877281496E-2</v>
      </c>
      <c r="BD177" s="138">
        <f t="shared" si="96"/>
        <v>1.6578074383671808E-2</v>
      </c>
      <c r="BE177" s="138">
        <f t="shared" si="96"/>
        <v>1.5594087464652252E-2</v>
      </c>
      <c r="BF177" s="138">
        <f t="shared" si="96"/>
        <v>1.4668504811073511E-2</v>
      </c>
      <c r="BG177" s="138">
        <f t="shared" si="96"/>
        <v>1.379785985426913E-2</v>
      </c>
      <c r="BH177" s="138">
        <f t="shared" si="96"/>
        <v>1.2978891782775967E-2</v>
      </c>
      <c r="BI177" s="138">
        <f t="shared" si="96"/>
        <v>1.2208533329673565E-2</v>
      </c>
      <c r="BJ177" s="138">
        <f t="shared" si="96"/>
        <v>1.1483899284802528E-2</v>
      </c>
      <c r="BK177" s="138">
        <f t="shared" si="96"/>
        <v>1.0802275688836916E-2</v>
      </c>
      <c r="BL177" s="138">
        <f t="shared" si="96"/>
        <v>1.0161109668739458E-2</v>
      </c>
      <c r="BM177" s="138">
        <f t="shared" si="96"/>
        <v>9.557999876530391E-3</v>
      </c>
      <c r="BN177" s="138">
        <f t="shared" si="96"/>
        <v>8.9906874955605221E-3</v>
      </c>
      <c r="BO177" s="138">
        <f t="shared" si="96"/>
        <v>8.4570477806043855E-3</v>
      </c>
      <c r="BP177" s="138">
        <f t="shared" si="96"/>
        <v>7.9550821000887832E-3</v>
      </c>
      <c r="BQ177" s="138">
        <f t="shared" si="96"/>
        <v>7.4829104506526061E-3</v>
      </c>
      <c r="BR177" s="138">
        <f t="shared" si="96"/>
        <v>7.038764416002828E-3</v>
      </c>
      <c r="BS177" s="138">
        <f t="shared" si="96"/>
        <v>6.6209805436956331E-3</v>
      </c>
      <c r="BT177" s="138">
        <f t="shared" ref="BT177:CC177" si="97">1/((1+($D$11/$D$8))^(BT176))</f>
        <v>6.2279941150368097E-3</v>
      </c>
      <c r="BU177" s="138">
        <f t="shared" si="97"/>
        <v>5.8583332847679534E-3</v>
      </c>
      <c r="BV177" s="138">
        <f t="shared" si="97"/>
        <v>5.5106135685899279E-3</v>
      </c>
      <c r="BW177" s="138">
        <f t="shared" si="97"/>
        <v>5.1835326578778375E-3</v>
      </c>
      <c r="BX177" s="138">
        <f t="shared" si="97"/>
        <v>4.8758655421670934E-3</v>
      </c>
      <c r="BY177" s="138">
        <f t="shared" si="97"/>
        <v>4.586459921142972E-3</v>
      </c>
      <c r="BZ177" s="138">
        <f t="shared" si="97"/>
        <v>4.3142318889502138E-3</v>
      </c>
      <c r="CA177" s="138">
        <f t="shared" si="97"/>
        <v>4.0581618746592177E-3</v>
      </c>
      <c r="CB177" s="138">
        <f t="shared" si="97"/>
        <v>3.8172908236847112E-3</v>
      </c>
      <c r="CC177" s="138">
        <f t="shared" si="97"/>
        <v>3.5907166058552465E-3</v>
      </c>
      <c r="CD177" s="138"/>
      <c r="CE177" s="138"/>
      <c r="CF177" s="138"/>
      <c r="CG177" s="138"/>
      <c r="CH177" s="138"/>
      <c r="CI177" s="138"/>
      <c r="CJ177" s="138"/>
      <c r="CK177" s="138"/>
      <c r="CL177" s="138"/>
      <c r="CM177" s="138"/>
      <c r="CN177" s="138"/>
      <c r="CO177" s="138"/>
    </row>
    <row r="179" spans="1:93" ht="21">
      <c r="A179" s="29" t="s">
        <v>27</v>
      </c>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141"/>
      <c r="CE179" s="141"/>
      <c r="CF179" s="141"/>
      <c r="CG179" s="141"/>
      <c r="CH179" s="141"/>
      <c r="CI179" s="141"/>
      <c r="CJ179" s="141"/>
      <c r="CK179" s="141"/>
      <c r="CL179" s="141"/>
      <c r="CM179" s="141"/>
      <c r="CN179" s="141"/>
      <c r="CO179" s="141"/>
    </row>
    <row r="180" spans="1:93">
      <c r="A180" s="2" t="s">
        <v>37</v>
      </c>
      <c r="F180">
        <v>1</v>
      </c>
      <c r="G180">
        <v>2</v>
      </c>
      <c r="H180">
        <v>3</v>
      </c>
      <c r="I180">
        <v>4</v>
      </c>
      <c r="J180">
        <v>5</v>
      </c>
      <c r="K180">
        <v>6</v>
      </c>
      <c r="L180">
        <v>7</v>
      </c>
      <c r="M180">
        <v>8</v>
      </c>
      <c r="N180">
        <v>9</v>
      </c>
      <c r="O180">
        <v>10</v>
      </c>
      <c r="P180">
        <v>11</v>
      </c>
      <c r="Q180">
        <v>12</v>
      </c>
      <c r="R180">
        <v>13</v>
      </c>
      <c r="S180">
        <v>14</v>
      </c>
      <c r="T180">
        <v>15</v>
      </c>
      <c r="U180">
        <v>16</v>
      </c>
      <c r="V180">
        <v>17</v>
      </c>
      <c r="W180">
        <v>18</v>
      </c>
      <c r="X180">
        <v>19</v>
      </c>
      <c r="Y180">
        <v>20</v>
      </c>
      <c r="Z180">
        <v>21</v>
      </c>
      <c r="AA180">
        <v>22</v>
      </c>
      <c r="AB180">
        <v>23</v>
      </c>
      <c r="AC180">
        <v>24</v>
      </c>
      <c r="AD180">
        <v>25</v>
      </c>
      <c r="AE180">
        <v>26</v>
      </c>
      <c r="AF180">
        <v>27</v>
      </c>
      <c r="AG180">
        <v>28</v>
      </c>
      <c r="AH180">
        <v>29</v>
      </c>
      <c r="AI180">
        <v>30</v>
      </c>
      <c r="AJ180">
        <v>31</v>
      </c>
      <c r="AK180">
        <v>32</v>
      </c>
      <c r="AL180">
        <v>33</v>
      </c>
      <c r="AM180">
        <v>34</v>
      </c>
      <c r="AN180">
        <v>35</v>
      </c>
      <c r="AO180">
        <v>36</v>
      </c>
      <c r="CD180" s="141"/>
      <c r="CE180" s="141"/>
      <c r="CF180" s="141"/>
      <c r="CG180" s="141"/>
      <c r="CH180" s="141"/>
      <c r="CI180" s="141"/>
      <c r="CJ180" s="141"/>
      <c r="CK180" s="141"/>
      <c r="CL180" s="141"/>
      <c r="CM180" s="141"/>
      <c r="CN180" s="141"/>
      <c r="CO180" s="141"/>
    </row>
    <row r="181" spans="1:93">
      <c r="A181" s="27"/>
      <c r="B181" s="26" t="s">
        <v>28</v>
      </c>
      <c r="C181" s="27"/>
      <c r="D181" s="47">
        <f>SUM(F181:CQ181)</f>
        <v>-5283987.6879688194</v>
      </c>
      <c r="E181" s="71"/>
      <c r="F181" s="47">
        <f>PMT($D$156,$D$160,$D$161)</f>
        <v>-146777.43577691159</v>
      </c>
      <c r="G181" s="71">
        <f t="shared" ref="G181:AO181" si="98">PMT($D$156,$D$160,$D$161)</f>
        <v>-146777.43577691159</v>
      </c>
      <c r="H181" s="71">
        <f t="shared" si="98"/>
        <v>-146777.43577691159</v>
      </c>
      <c r="I181" s="71">
        <f t="shared" si="98"/>
        <v>-146777.43577691159</v>
      </c>
      <c r="J181" s="71">
        <f t="shared" si="98"/>
        <v>-146777.43577691159</v>
      </c>
      <c r="K181" s="71">
        <f t="shared" si="98"/>
        <v>-146777.43577691159</v>
      </c>
      <c r="L181" s="71">
        <f t="shared" si="98"/>
        <v>-146777.43577691159</v>
      </c>
      <c r="M181" s="71">
        <f t="shared" si="98"/>
        <v>-146777.43577691159</v>
      </c>
      <c r="N181" s="71">
        <f t="shared" si="98"/>
        <v>-146777.43577691159</v>
      </c>
      <c r="O181" s="71">
        <f t="shared" si="98"/>
        <v>-146777.43577691159</v>
      </c>
      <c r="P181" s="71">
        <f t="shared" si="98"/>
        <v>-146777.43577691159</v>
      </c>
      <c r="Q181" s="71">
        <f t="shared" si="98"/>
        <v>-146777.43577691159</v>
      </c>
      <c r="R181" s="71">
        <f t="shared" si="98"/>
        <v>-146777.43577691159</v>
      </c>
      <c r="S181" s="71">
        <f t="shared" si="98"/>
        <v>-146777.43577691159</v>
      </c>
      <c r="T181" s="71">
        <f t="shared" si="98"/>
        <v>-146777.43577691159</v>
      </c>
      <c r="U181" s="71">
        <f t="shared" si="98"/>
        <v>-146777.43577691159</v>
      </c>
      <c r="V181" s="71">
        <f t="shared" si="98"/>
        <v>-146777.43577691159</v>
      </c>
      <c r="W181" s="71">
        <f t="shared" si="98"/>
        <v>-146777.43577691159</v>
      </c>
      <c r="X181" s="71">
        <f t="shared" si="98"/>
        <v>-146777.43577691159</v>
      </c>
      <c r="Y181" s="71">
        <f t="shared" si="98"/>
        <v>-146777.43577691159</v>
      </c>
      <c r="Z181" s="71">
        <f t="shared" si="98"/>
        <v>-146777.43577691159</v>
      </c>
      <c r="AA181" s="71">
        <f t="shared" si="98"/>
        <v>-146777.43577691159</v>
      </c>
      <c r="AB181" s="71">
        <f t="shared" si="98"/>
        <v>-146777.43577691159</v>
      </c>
      <c r="AC181" s="71">
        <f t="shared" si="98"/>
        <v>-146777.43577691159</v>
      </c>
      <c r="AD181" s="71">
        <f t="shared" si="98"/>
        <v>-146777.43577691159</v>
      </c>
      <c r="AE181" s="71">
        <f t="shared" si="98"/>
        <v>-146777.43577691159</v>
      </c>
      <c r="AF181" s="71">
        <f t="shared" si="98"/>
        <v>-146777.43577691159</v>
      </c>
      <c r="AG181" s="71">
        <f t="shared" si="98"/>
        <v>-146777.43577691159</v>
      </c>
      <c r="AH181" s="71">
        <f t="shared" si="98"/>
        <v>-146777.43577691159</v>
      </c>
      <c r="AI181" s="71">
        <f t="shared" si="98"/>
        <v>-146777.43577691159</v>
      </c>
      <c r="AJ181" s="71">
        <f t="shared" si="98"/>
        <v>-146777.43577691159</v>
      </c>
      <c r="AK181" s="71">
        <f t="shared" si="98"/>
        <v>-146777.43577691159</v>
      </c>
      <c r="AL181" s="71">
        <f t="shared" si="98"/>
        <v>-146777.43577691159</v>
      </c>
      <c r="AM181" s="71">
        <f t="shared" si="98"/>
        <v>-146777.43577691159</v>
      </c>
      <c r="AN181" s="71">
        <f t="shared" si="98"/>
        <v>-146777.43577691159</v>
      </c>
      <c r="AO181" s="71">
        <f t="shared" si="98"/>
        <v>-146777.43577691159</v>
      </c>
      <c r="AP181" s="47"/>
      <c r="AQ181" s="47"/>
      <c r="AR181" s="47"/>
      <c r="AS181" s="47"/>
      <c r="CD181" s="141"/>
      <c r="CE181" s="141"/>
      <c r="CF181" s="141"/>
      <c r="CG181" s="141"/>
      <c r="CH181" s="141"/>
      <c r="CI181" s="141"/>
      <c r="CJ181" s="141"/>
      <c r="CK181" s="141"/>
      <c r="CL181" s="141"/>
      <c r="CM181" s="141"/>
      <c r="CN181" s="141"/>
      <c r="CO181" s="141"/>
    </row>
    <row r="182" spans="1:93">
      <c r="A182" s="27"/>
      <c r="B182" s="27"/>
      <c r="C182" s="27" t="s">
        <v>29</v>
      </c>
      <c r="D182" s="47">
        <f t="shared" ref="D182:D187" si="99">SUM(F182:CQ182)</f>
        <v>-2146031</v>
      </c>
      <c r="E182" s="71"/>
      <c r="F182" s="47">
        <f>PPMT($D$156,F$180,$D$160,$D$161)</f>
        <v>-18015.575776911599</v>
      </c>
      <c r="G182" s="71">
        <f t="shared" ref="G182:AO182" si="100">PPMT($D$156,G$180,$D$160,$D$161)</f>
        <v>-19096.510323526301</v>
      </c>
      <c r="H182" s="71">
        <f t="shared" si="100"/>
        <v>-20242.300942937873</v>
      </c>
      <c r="I182" s="71">
        <f t="shared" si="100"/>
        <v>-21456.838999514144</v>
      </c>
      <c r="J182" s="71">
        <f t="shared" si="100"/>
        <v>-22744.249339484995</v>
      </c>
      <c r="K182" s="71">
        <f t="shared" si="100"/>
        <v>-24108.904299854094</v>
      </c>
      <c r="L182" s="71">
        <f t="shared" si="100"/>
        <v>-25555.43855784534</v>
      </c>
      <c r="M182" s="71">
        <f t="shared" si="100"/>
        <v>-27088.76487131606</v>
      </c>
      <c r="N182" s="71">
        <f t="shared" si="100"/>
        <v>-28714.090763595024</v>
      </c>
      <c r="O182" s="71">
        <f t="shared" si="100"/>
        <v>-30436.936209410727</v>
      </c>
      <c r="P182" s="71">
        <f t="shared" si="100"/>
        <v>-32263.152381975364</v>
      </c>
      <c r="Q182" s="71">
        <f t="shared" si="100"/>
        <v>-34198.941524893889</v>
      </c>
      <c r="R182" s="71">
        <f t="shared" si="100"/>
        <v>-36250.878016387527</v>
      </c>
      <c r="S182" s="71">
        <f t="shared" si="100"/>
        <v>-38425.930697370772</v>
      </c>
      <c r="T182" s="71">
        <f t="shared" si="100"/>
        <v>-40731.486539213016</v>
      </c>
      <c r="U182" s="71">
        <f t="shared" si="100"/>
        <v>-43175.3757315658</v>
      </c>
      <c r="V182" s="71">
        <f t="shared" si="100"/>
        <v>-45765.898275459753</v>
      </c>
      <c r="W182" s="71">
        <f t="shared" si="100"/>
        <v>-48511.852171987332</v>
      </c>
      <c r="X182" s="71">
        <f t="shared" si="100"/>
        <v>-51422.563302306567</v>
      </c>
      <c r="Y182" s="71">
        <f t="shared" si="100"/>
        <v>-54507.917100444967</v>
      </c>
      <c r="Z182" s="71">
        <f t="shared" si="100"/>
        <v>-57778.392126471663</v>
      </c>
      <c r="AA182" s="71">
        <f t="shared" si="100"/>
        <v>-61245.095654059965</v>
      </c>
      <c r="AB182" s="71">
        <f t="shared" si="100"/>
        <v>-64919.801393303569</v>
      </c>
      <c r="AC182" s="71">
        <f t="shared" si="100"/>
        <v>-68814.989476901785</v>
      </c>
      <c r="AD182" s="71">
        <f t="shared" si="100"/>
        <v>-72943.888845515889</v>
      </c>
      <c r="AE182" s="71">
        <f t="shared" si="100"/>
        <v>-77320.522176246843</v>
      </c>
      <c r="AF182" s="71">
        <f t="shared" si="100"/>
        <v>-81959.753506821638</v>
      </c>
      <c r="AG182" s="71">
        <f t="shared" si="100"/>
        <v>-86877.338717230945</v>
      </c>
      <c r="AH182" s="71">
        <f t="shared" si="100"/>
        <v>-92089.979040264792</v>
      </c>
      <c r="AI182" s="71">
        <f t="shared" si="100"/>
        <v>-97615.377782680676</v>
      </c>
      <c r="AJ182" s="71">
        <f t="shared" si="100"/>
        <v>-103472.30044964151</v>
      </c>
      <c r="AK182" s="71">
        <f t="shared" si="100"/>
        <v>-109680.63847662002</v>
      </c>
      <c r="AL182" s="71">
        <f t="shared" si="100"/>
        <v>-116261.47678521722</v>
      </c>
      <c r="AM182" s="71">
        <f t="shared" si="100"/>
        <v>-123237.16539233024</v>
      </c>
      <c r="AN182" s="71">
        <f t="shared" si="100"/>
        <v>-130631.39531587005</v>
      </c>
      <c r="AO182" s="71">
        <f t="shared" si="100"/>
        <v>-138469.27903482225</v>
      </c>
      <c r="AP182" s="71"/>
      <c r="AQ182" s="71"/>
      <c r="AR182" s="71"/>
      <c r="AS182" s="71"/>
      <c r="CD182" s="141"/>
      <c r="CE182" s="141"/>
      <c r="CF182" s="141"/>
      <c r="CG182" s="141"/>
      <c r="CH182" s="141"/>
      <c r="CI182" s="141"/>
      <c r="CJ182" s="141"/>
      <c r="CK182" s="141"/>
      <c r="CL182" s="141"/>
      <c r="CM182" s="141"/>
      <c r="CN182" s="141"/>
      <c r="CO182" s="141"/>
    </row>
    <row r="183" spans="1:93">
      <c r="A183" s="27"/>
      <c r="B183" s="27"/>
      <c r="C183" s="27" t="s">
        <v>30</v>
      </c>
      <c r="D183" s="47">
        <f t="shared" si="99"/>
        <v>-3137956.6879688175</v>
      </c>
      <c r="E183" s="71"/>
      <c r="F183" s="47">
        <f>IPMT($D$156,F$180,$D$160,$D$161)</f>
        <v>-128761.86</v>
      </c>
      <c r="G183" s="71">
        <f t="shared" ref="G183:AO183" si="101">IPMT($D$156,G$180,$D$160,$D$161)</f>
        <v>-127680.92545338531</v>
      </c>
      <c r="H183" s="71">
        <f t="shared" si="101"/>
        <v>-126535.1348339737</v>
      </c>
      <c r="I183" s="71">
        <f t="shared" si="101"/>
        <v>-125320.59677739746</v>
      </c>
      <c r="J183" s="71">
        <f t="shared" si="101"/>
        <v>-124033.18643742662</v>
      </c>
      <c r="K183" s="71">
        <f t="shared" si="101"/>
        <v>-122668.53147705749</v>
      </c>
      <c r="L183" s="71">
        <f t="shared" si="101"/>
        <v>-121221.99721906627</v>
      </c>
      <c r="M183" s="71">
        <f t="shared" si="101"/>
        <v>-119688.67090559553</v>
      </c>
      <c r="N183" s="71">
        <f t="shared" si="101"/>
        <v>-118063.34501331656</v>
      </c>
      <c r="O183" s="71">
        <f t="shared" si="101"/>
        <v>-116340.49956750085</v>
      </c>
      <c r="P183" s="71">
        <f t="shared" si="101"/>
        <v>-114514.28339493622</v>
      </c>
      <c r="Q183" s="71">
        <f t="shared" si="101"/>
        <v>-112578.4942520177</v>
      </c>
      <c r="R183" s="71">
        <f t="shared" si="101"/>
        <v>-110526.55776052407</v>
      </c>
      <c r="S183" s="71">
        <f t="shared" si="101"/>
        <v>-108351.50507954083</v>
      </c>
      <c r="T183" s="71">
        <f t="shared" si="101"/>
        <v>-106045.94923769857</v>
      </c>
      <c r="U183" s="71">
        <f t="shared" si="101"/>
        <v>-103602.0600453458</v>
      </c>
      <c r="V183" s="71">
        <f t="shared" si="101"/>
        <v>-101011.53750145185</v>
      </c>
      <c r="W183" s="71">
        <f t="shared" si="101"/>
        <v>-98265.583604924264</v>
      </c>
      <c r="X183" s="71">
        <f t="shared" si="101"/>
        <v>-95354.872474605028</v>
      </c>
      <c r="Y183" s="71">
        <f t="shared" si="101"/>
        <v>-92269.518676466643</v>
      </c>
      <c r="Z183" s="71">
        <f t="shared" si="101"/>
        <v>-88999.043650439926</v>
      </c>
      <c r="AA183" s="71">
        <f t="shared" si="101"/>
        <v>-85532.340122851645</v>
      </c>
      <c r="AB183" s="71">
        <f t="shared" si="101"/>
        <v>-81857.634383608034</v>
      </c>
      <c r="AC183" s="71">
        <f t="shared" si="101"/>
        <v>-77962.446300009833</v>
      </c>
      <c r="AD183" s="71">
        <f t="shared" si="101"/>
        <v>-73833.546931395715</v>
      </c>
      <c r="AE183" s="71">
        <f t="shared" si="101"/>
        <v>-69456.913600664775</v>
      </c>
      <c r="AF183" s="71">
        <f t="shared" si="101"/>
        <v>-64817.68227008995</v>
      </c>
      <c r="AG183" s="71">
        <f t="shared" si="101"/>
        <v>-59900.097059680658</v>
      </c>
      <c r="AH183" s="71">
        <f t="shared" si="101"/>
        <v>-54687.456736646789</v>
      </c>
      <c r="AI183" s="71">
        <f t="shared" si="101"/>
        <v>-49162.057994230912</v>
      </c>
      <c r="AJ183" s="71">
        <f t="shared" si="101"/>
        <v>-43305.135327270065</v>
      </c>
      <c r="AK183" s="71">
        <f t="shared" si="101"/>
        <v>-37096.79730029159</v>
      </c>
      <c r="AL183" s="71">
        <f t="shared" si="101"/>
        <v>-30515.958991694384</v>
      </c>
      <c r="AM183" s="71">
        <f t="shared" si="101"/>
        <v>-23540.270384581345</v>
      </c>
      <c r="AN183" s="71">
        <f t="shared" si="101"/>
        <v>-16146.040461041537</v>
      </c>
      <c r="AO183" s="71">
        <f t="shared" si="101"/>
        <v>-8308.1567420893352</v>
      </c>
      <c r="AP183" s="71"/>
      <c r="AQ183" s="71"/>
      <c r="AR183" s="71"/>
      <c r="AS183" s="71"/>
      <c r="CD183" s="141"/>
      <c r="CE183" s="141"/>
      <c r="CF183" s="141"/>
      <c r="CG183" s="141"/>
      <c r="CH183" s="141"/>
      <c r="CI183" s="141"/>
      <c r="CJ183" s="141"/>
      <c r="CK183" s="141"/>
      <c r="CL183" s="141"/>
      <c r="CM183" s="141"/>
      <c r="CN183" s="141"/>
      <c r="CO183" s="141"/>
    </row>
    <row r="184" spans="1:93">
      <c r="A184" s="27"/>
      <c r="B184" s="33" t="s">
        <v>31</v>
      </c>
      <c r="C184" s="33"/>
      <c r="D184" s="47"/>
      <c r="E184" s="71">
        <f>D161</f>
        <v>2146031</v>
      </c>
      <c r="F184" s="71">
        <f>E184+F182</f>
        <v>2128015.4242230882</v>
      </c>
      <c r="G184" s="71">
        <f t="shared" ref="G184:AO184" si="102">F184+G182</f>
        <v>2108918.9138995619</v>
      </c>
      <c r="H184" s="71">
        <f t="shared" si="102"/>
        <v>2088676.612956624</v>
      </c>
      <c r="I184" s="71">
        <f t="shared" si="102"/>
        <v>2067219.7739571098</v>
      </c>
      <c r="J184" s="71">
        <f t="shared" si="102"/>
        <v>2044475.5246176247</v>
      </c>
      <c r="K184" s="71">
        <f t="shared" si="102"/>
        <v>2020366.6203177706</v>
      </c>
      <c r="L184" s="71">
        <f t="shared" si="102"/>
        <v>1994811.1817599253</v>
      </c>
      <c r="M184" s="71">
        <f t="shared" si="102"/>
        <v>1967722.4168886093</v>
      </c>
      <c r="N184" s="71">
        <f t="shared" si="102"/>
        <v>1939008.3261250143</v>
      </c>
      <c r="O184" s="71">
        <f t="shared" si="102"/>
        <v>1908571.3899156037</v>
      </c>
      <c r="P184" s="71">
        <f t="shared" si="102"/>
        <v>1876308.2375336282</v>
      </c>
      <c r="Q184" s="71">
        <f t="shared" si="102"/>
        <v>1842109.2960087343</v>
      </c>
      <c r="R184" s="71">
        <f t="shared" si="102"/>
        <v>1805858.4179923467</v>
      </c>
      <c r="S184" s="71">
        <f t="shared" si="102"/>
        <v>1767432.4872949759</v>
      </c>
      <c r="T184" s="71">
        <f t="shared" si="102"/>
        <v>1726701.0007557629</v>
      </c>
      <c r="U184" s="71">
        <f t="shared" si="102"/>
        <v>1683525.6250241972</v>
      </c>
      <c r="V184" s="71">
        <f t="shared" si="102"/>
        <v>1637759.7267487375</v>
      </c>
      <c r="W184" s="71">
        <f t="shared" si="102"/>
        <v>1589247.8745767502</v>
      </c>
      <c r="X184" s="71">
        <f t="shared" si="102"/>
        <v>1537825.3112744438</v>
      </c>
      <c r="Y184" s="71">
        <f t="shared" si="102"/>
        <v>1483317.3941739989</v>
      </c>
      <c r="Z184" s="71">
        <f t="shared" si="102"/>
        <v>1425539.0020475271</v>
      </c>
      <c r="AA184" s="71">
        <f t="shared" si="102"/>
        <v>1364293.9063934672</v>
      </c>
      <c r="AB184" s="71">
        <f t="shared" si="102"/>
        <v>1299374.1050001637</v>
      </c>
      <c r="AC184" s="71">
        <f t="shared" si="102"/>
        <v>1230559.1155232619</v>
      </c>
      <c r="AD184" s="71">
        <f t="shared" si="102"/>
        <v>1157615.226677746</v>
      </c>
      <c r="AE184" s="71">
        <f t="shared" si="102"/>
        <v>1080294.7045014992</v>
      </c>
      <c r="AF184" s="71">
        <f t="shared" si="102"/>
        <v>998334.95099467761</v>
      </c>
      <c r="AG184" s="71">
        <f t="shared" si="102"/>
        <v>911457.61227744666</v>
      </c>
      <c r="AH184" s="71">
        <f t="shared" si="102"/>
        <v>819367.63323718193</v>
      </c>
      <c r="AI184" s="71">
        <f t="shared" si="102"/>
        <v>721752.25545450125</v>
      </c>
      <c r="AJ184" s="71">
        <f t="shared" si="102"/>
        <v>618279.95500485972</v>
      </c>
      <c r="AK184" s="71">
        <f t="shared" si="102"/>
        <v>508599.31652823969</v>
      </c>
      <c r="AL184" s="71">
        <f t="shared" si="102"/>
        <v>392337.83974302246</v>
      </c>
      <c r="AM184" s="71">
        <f t="shared" si="102"/>
        <v>269100.67435069219</v>
      </c>
      <c r="AN184" s="71">
        <f t="shared" si="102"/>
        <v>138469.27903482213</v>
      </c>
      <c r="AO184" s="71">
        <f t="shared" si="102"/>
        <v>0</v>
      </c>
      <c r="AP184" s="71"/>
      <c r="AQ184" s="71"/>
      <c r="AR184" s="71"/>
      <c r="AS184" s="71"/>
      <c r="CD184" s="141"/>
      <c r="CE184" s="141"/>
      <c r="CF184" s="141"/>
      <c r="CG184" s="141"/>
      <c r="CH184" s="141"/>
      <c r="CI184" s="141"/>
      <c r="CJ184" s="141"/>
      <c r="CK184" s="141"/>
      <c r="CL184" s="141"/>
      <c r="CM184" s="141"/>
      <c r="CN184" s="141"/>
      <c r="CO184" s="141"/>
    </row>
    <row r="185" spans="1:93">
      <c r="A185" s="27"/>
      <c r="B185" s="26" t="s">
        <v>32</v>
      </c>
      <c r="C185" s="27"/>
      <c r="D185" s="47">
        <f t="shared" si="99"/>
        <v>-777309.17096580961</v>
      </c>
      <c r="E185" s="71"/>
      <c r="F185" s="71">
        <f>F181*F177</f>
        <v>-51867.974383785004</v>
      </c>
      <c r="G185" s="71">
        <f t="shared" ref="G185:AO185" si="103">G181*G177</f>
        <v>-48789.365425439755</v>
      </c>
      <c r="H185" s="71">
        <f t="shared" si="103"/>
        <v>-45893.486431605452</v>
      </c>
      <c r="I185" s="71">
        <f t="shared" si="103"/>
        <v>-43169.491516889713</v>
      </c>
      <c r="J185" s="71">
        <f t="shared" si="103"/>
        <v>-40607.178550361881</v>
      </c>
      <c r="K185" s="71">
        <f t="shared" si="103"/>
        <v>-38196.950945688914</v>
      </c>
      <c r="L185" s="71">
        <f t="shared" si="103"/>
        <v>-35929.781719206956</v>
      </c>
      <c r="M185" s="71">
        <f t="shared" si="103"/>
        <v>-33797.179681315924</v>
      </c>
      <c r="N185" s="71">
        <f t="shared" si="103"/>
        <v>-31791.157634574283</v>
      </c>
      <c r="O185" s="71">
        <f t="shared" si="103"/>
        <v>-29904.202459386968</v>
      </c>
      <c r="P185" s="71">
        <f t="shared" si="103"/>
        <v>-28129.246975248767</v>
      </c>
      <c r="Q185" s="71">
        <f t="shared" si="103"/>
        <v>-26459.643472155742</v>
      </c>
      <c r="R185" s="71">
        <f t="shared" si="103"/>
        <v>-24889.138813052152</v>
      </c>
      <c r="S185" s="71">
        <f t="shared" si="103"/>
        <v>-23411.851014064672</v>
      </c>
      <c r="T185" s="71">
        <f t="shared" si="103"/>
        <v>-22022.247214810151</v>
      </c>
      <c r="U185" s="71">
        <f t="shared" si="103"/>
        <v>-20715.122956269548</v>
      </c>
      <c r="V185" s="71">
        <f t="shared" si="103"/>
        <v>-19485.582688617767</v>
      </c>
      <c r="W185" s="71">
        <f t="shared" si="103"/>
        <v>-18329.021436005802</v>
      </c>
      <c r="X185" s="71">
        <f t="shared" si="103"/>
        <v>-17241.107549624496</v>
      </c>
      <c r="Y185" s="71">
        <f t="shared" si="103"/>
        <v>-16217.766484455362</v>
      </c>
      <c r="Z185" s="71">
        <f t="shared" si="103"/>
        <v>-15255.16553894776</v>
      </c>
      <c r="AA185" s="71">
        <f t="shared" si="103"/>
        <v>-14349.699500468218</v>
      </c>
      <c r="AB185" s="71">
        <f t="shared" si="103"/>
        <v>-13497.977142760057</v>
      </c>
      <c r="AC185" s="71">
        <f t="shared" si="103"/>
        <v>-12696.808524842498</v>
      </c>
      <c r="AD185" s="71">
        <f t="shared" si="103"/>
        <v>-11943.19304377998</v>
      </c>
      <c r="AE185" s="71">
        <f t="shared" si="103"/>
        <v>-11234.308196576032</v>
      </c>
      <c r="AF185" s="71">
        <f t="shared" si="103"/>
        <v>-10567.499009101713</v>
      </c>
      <c r="AG185" s="71">
        <f t="shared" si="103"/>
        <v>-9940.268092467044</v>
      </c>
      <c r="AH185" s="71">
        <f t="shared" si="103"/>
        <v>-9350.2662895936828</v>
      </c>
      <c r="AI185" s="71">
        <f t="shared" si="103"/>
        <v>-8795.2838769576556</v>
      </c>
      <c r="AJ185" s="71">
        <f t="shared" si="103"/>
        <v>-8273.2422885501401</v>
      </c>
      <c r="AK185" s="71">
        <f t="shared" si="103"/>
        <v>-7782.1863310602421</v>
      </c>
      <c r="AL185" s="71">
        <f t="shared" si="103"/>
        <v>-7320.2768611233578</v>
      </c>
      <c r="AM185" s="71">
        <f t="shared" si="103"/>
        <v>-6885.7838972094423</v>
      </c>
      <c r="AN185" s="71">
        <f t="shared" si="103"/>
        <v>-6477.0801403531568</v>
      </c>
      <c r="AO185" s="71">
        <f t="shared" si="103"/>
        <v>-6092.6348794592786</v>
      </c>
      <c r="AP185" s="71"/>
      <c r="AQ185" s="71"/>
      <c r="AR185" s="71"/>
      <c r="AS185" s="71"/>
      <c r="CD185" s="141"/>
      <c r="CE185" s="141"/>
      <c r="CF185" s="141"/>
      <c r="CG185" s="141"/>
      <c r="CH185" s="141"/>
      <c r="CI185" s="141"/>
      <c r="CJ185" s="141"/>
      <c r="CK185" s="141"/>
      <c r="CL185" s="141"/>
      <c r="CM185" s="141"/>
      <c r="CN185" s="141"/>
      <c r="CO185" s="141"/>
    </row>
    <row r="186" spans="1:93">
      <c r="A186" s="27"/>
      <c r="B186" s="27"/>
      <c r="C186" s="27" t="s">
        <v>29</v>
      </c>
      <c r="D186" s="47">
        <f t="shared" si="99"/>
        <v>-217869.29928566073</v>
      </c>
      <c r="E186" s="71"/>
      <c r="F186" s="71">
        <f>F182*F177</f>
        <v>-6366.3152170490266</v>
      </c>
      <c r="G186" s="71">
        <f t="shared" ref="G186:AO186" si="104">G182*G177</f>
        <v>-6347.7510394807359</v>
      </c>
      <c r="H186" s="71">
        <f t="shared" si="104"/>
        <v>-6329.2409950612146</v>
      </c>
      <c r="I186" s="71">
        <f t="shared" si="104"/>
        <v>-6310.7849259381883</v>
      </c>
      <c r="J186" s="71">
        <f t="shared" si="104"/>
        <v>-6292.3826747196699</v>
      </c>
      <c r="K186" s="71">
        <f t="shared" si="104"/>
        <v>-6274.034084472627</v>
      </c>
      <c r="L186" s="71">
        <f t="shared" si="104"/>
        <v>-6255.7389987216493</v>
      </c>
      <c r="M186" s="71">
        <f t="shared" si="104"/>
        <v>-6237.4972614476046</v>
      </c>
      <c r="N186" s="71">
        <f t="shared" si="104"/>
        <v>-6219.3087170863137</v>
      </c>
      <c r="O186" s="71">
        <f t="shared" si="104"/>
        <v>-6201.1732105272258</v>
      </c>
      <c r="P186" s="71">
        <f t="shared" si="104"/>
        <v>-6183.0905871120849</v>
      </c>
      <c r="Q186" s="71">
        <f t="shared" si="104"/>
        <v>-6165.0606926336286</v>
      </c>
      <c r="R186" s="71">
        <f t="shared" si="104"/>
        <v>-6147.0833733342561</v>
      </c>
      <c r="S186" s="71">
        <f t="shared" si="104"/>
        <v>-6129.1584759047228</v>
      </c>
      <c r="T186" s="71">
        <f t="shared" si="104"/>
        <v>-6111.2858474828381</v>
      </c>
      <c r="U186" s="71">
        <f t="shared" si="104"/>
        <v>-6093.4653356521594</v>
      </c>
      <c r="V186" s="71">
        <f t="shared" si="104"/>
        <v>-6075.6967884406831</v>
      </c>
      <c r="W186" s="71">
        <f t="shared" si="104"/>
        <v>-6057.9800543195588</v>
      </c>
      <c r="X186" s="71">
        <f t="shared" si="104"/>
        <v>-6040.3149822017986</v>
      </c>
      <c r="Y186" s="71">
        <f t="shared" si="104"/>
        <v>-6022.701421440981</v>
      </c>
      <c r="Z186" s="71">
        <f t="shared" si="104"/>
        <v>-6005.1392218299688</v>
      </c>
      <c r="AA186" s="71">
        <f t="shared" si="104"/>
        <v>-5987.628233599632</v>
      </c>
      <c r="AB186" s="71">
        <f t="shared" si="104"/>
        <v>-5970.1683074175617</v>
      </c>
      <c r="AC186" s="71">
        <f t="shared" si="104"/>
        <v>-5952.7592943868085</v>
      </c>
      <c r="AD186" s="71">
        <f t="shared" si="104"/>
        <v>-5935.4010460446025</v>
      </c>
      <c r="AE186" s="71">
        <f t="shared" si="104"/>
        <v>-5918.093414361093</v>
      </c>
      <c r="AF186" s="71">
        <f t="shared" si="104"/>
        <v>-5900.8362517380847</v>
      </c>
      <c r="AG186" s="71">
        <f t="shared" si="104"/>
        <v>-5883.6294110077797</v>
      </c>
      <c r="AH186" s="71">
        <f t="shared" si="104"/>
        <v>-5866.4727454315171</v>
      </c>
      <c r="AI186" s="71">
        <f t="shared" si="104"/>
        <v>-5849.3661086985312</v>
      </c>
      <c r="AJ186" s="71">
        <f t="shared" si="104"/>
        <v>-5832.3093549246933</v>
      </c>
      <c r="AK186" s="71">
        <f t="shared" si="104"/>
        <v>-5815.3023386512823</v>
      </c>
      <c r="AL186" s="71">
        <f t="shared" si="104"/>
        <v>-5798.3449148437203</v>
      </c>
      <c r="AM186" s="71">
        <f t="shared" si="104"/>
        <v>-5781.4369388903606</v>
      </c>
      <c r="AN186" s="71">
        <f t="shared" si="104"/>
        <v>-5764.5782666012437</v>
      </c>
      <c r="AO186" s="71">
        <f t="shared" si="104"/>
        <v>-5747.768754206867</v>
      </c>
      <c r="AP186" s="71"/>
      <c r="AQ186" s="71"/>
      <c r="AR186" s="71"/>
      <c r="AS186" s="71"/>
      <c r="CD186" s="141"/>
      <c r="CE186" s="141"/>
      <c r="CF186" s="141"/>
      <c r="CG186" s="141"/>
      <c r="CH186" s="141"/>
      <c r="CI186" s="141"/>
      <c r="CJ186" s="141"/>
      <c r="CK186" s="141"/>
      <c r="CL186" s="141"/>
      <c r="CM186" s="141"/>
      <c r="CN186" s="141"/>
      <c r="CO186" s="141"/>
    </row>
    <row r="187" spans="1:93">
      <c r="A187" s="27"/>
      <c r="B187" s="27"/>
      <c r="C187" s="27" t="s">
        <v>30</v>
      </c>
      <c r="D187" s="47">
        <f t="shared" si="99"/>
        <v>-559439.87168014864</v>
      </c>
      <c r="E187" s="71"/>
      <c r="F187" s="71">
        <f>F183*F177</f>
        <v>-45501.659166735983</v>
      </c>
      <c r="G187" s="71">
        <f t="shared" ref="G187:AO187" si="105">G183*G177</f>
        <v>-42441.61438595903</v>
      </c>
      <c r="H187" s="71">
        <f t="shared" si="105"/>
        <v>-39564.245436544232</v>
      </c>
      <c r="I187" s="71">
        <f t="shared" si="105"/>
        <v>-36858.70659095153</v>
      </c>
      <c r="J187" s="71">
        <f t="shared" si="105"/>
        <v>-34314.795875642216</v>
      </c>
      <c r="K187" s="71">
        <f t="shared" si="105"/>
        <v>-31922.916861216283</v>
      </c>
      <c r="L187" s="71">
        <f t="shared" si="105"/>
        <v>-29674.042720485311</v>
      </c>
      <c r="M187" s="71">
        <f t="shared" si="105"/>
        <v>-27559.682419868317</v>
      </c>
      <c r="N187" s="71">
        <f t="shared" si="105"/>
        <v>-25571.848917487969</v>
      </c>
      <c r="O187" s="71">
        <f t="shared" si="105"/>
        <v>-23703.029248859741</v>
      </c>
      <c r="P187" s="71">
        <f t="shared" si="105"/>
        <v>-21946.156388136682</v>
      </c>
      <c r="Q187" s="71">
        <f t="shared" si="105"/>
        <v>-20294.582779522112</v>
      </c>
      <c r="R187" s="71">
        <f t="shared" si="105"/>
        <v>-18742.055439717897</v>
      </c>
      <c r="S187" s="71">
        <f t="shared" si="105"/>
        <v>-17282.692538159954</v>
      </c>
      <c r="T187" s="71">
        <f t="shared" si="105"/>
        <v>-15910.961367327312</v>
      </c>
      <c r="U187" s="71">
        <f t="shared" si="105"/>
        <v>-14621.65762061739</v>
      </c>
      <c r="V187" s="71">
        <f t="shared" si="105"/>
        <v>-13409.885900177087</v>
      </c>
      <c r="W187" s="71">
        <f t="shared" si="105"/>
        <v>-12271.041381686244</v>
      </c>
      <c r="X187" s="71">
        <f t="shared" si="105"/>
        <v>-11200.792567422699</v>
      </c>
      <c r="Y187" s="71">
        <f t="shared" si="105"/>
        <v>-10195.065063014383</v>
      </c>
      <c r="Z187" s="71">
        <f t="shared" si="105"/>
        <v>-9250.0263171177903</v>
      </c>
      <c r="AA187" s="71">
        <f t="shared" si="105"/>
        <v>-8362.0712668685883</v>
      </c>
      <c r="AB187" s="71">
        <f t="shared" si="105"/>
        <v>-7527.8088353424973</v>
      </c>
      <c r="AC187" s="71">
        <f t="shared" si="105"/>
        <v>-6744.049230455691</v>
      </c>
      <c r="AD187" s="71">
        <f t="shared" si="105"/>
        <v>-6007.7919977353795</v>
      </c>
      <c r="AE187" s="71">
        <f t="shared" si="105"/>
        <v>-5316.2147822149409</v>
      </c>
      <c r="AF187" s="71">
        <f t="shared" si="105"/>
        <v>-4666.6627573636297</v>
      </c>
      <c r="AG187" s="71">
        <f t="shared" si="105"/>
        <v>-4056.6386814592656</v>
      </c>
      <c r="AH187" s="71">
        <f t="shared" si="105"/>
        <v>-3483.7935441621653</v>
      </c>
      <c r="AI187" s="71">
        <f t="shared" si="105"/>
        <v>-2945.9177682591244</v>
      </c>
      <c r="AJ187" s="71">
        <f t="shared" si="105"/>
        <v>-2440.9329336254464</v>
      </c>
      <c r="AK187" s="71">
        <f t="shared" si="105"/>
        <v>-1966.8839924089607</v>
      </c>
      <c r="AL187" s="71">
        <f t="shared" si="105"/>
        <v>-1521.9319462796382</v>
      </c>
      <c r="AM187" s="71">
        <f t="shared" si="105"/>
        <v>-1104.3469583190808</v>
      </c>
      <c r="AN187" s="71">
        <f t="shared" si="105"/>
        <v>-712.50187375191365</v>
      </c>
      <c r="AO187" s="71">
        <f t="shared" si="105"/>
        <v>-344.86612525241202</v>
      </c>
      <c r="AP187" s="71"/>
      <c r="AQ187" s="71"/>
      <c r="AR187" s="71"/>
      <c r="AS187" s="71"/>
      <c r="CD187" s="141"/>
      <c r="CE187" s="141"/>
      <c r="CF187" s="141"/>
      <c r="CG187" s="141"/>
      <c r="CH187" s="141"/>
      <c r="CI187" s="141"/>
      <c r="CJ187" s="141"/>
      <c r="CK187" s="141"/>
      <c r="CL187" s="141"/>
      <c r="CM187" s="141"/>
      <c r="CN187" s="141"/>
      <c r="CO187" s="141"/>
    </row>
    <row r="188" spans="1:93">
      <c r="CD188" s="141"/>
      <c r="CE188" s="141"/>
      <c r="CF188" s="141"/>
      <c r="CG188" s="141"/>
      <c r="CH188" s="141"/>
      <c r="CI188" s="141"/>
      <c r="CJ188" s="141"/>
      <c r="CK188" s="141"/>
      <c r="CL188" s="141"/>
      <c r="CM188" s="141"/>
      <c r="CN188" s="141"/>
      <c r="CO188" s="141"/>
    </row>
    <row r="189" spans="1:93" ht="21">
      <c r="A189" s="29" t="s">
        <v>33</v>
      </c>
      <c r="B189" s="30"/>
      <c r="C189" s="30"/>
      <c r="D189" s="30"/>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141"/>
      <c r="CE189" s="141"/>
      <c r="CF189" s="141"/>
      <c r="CG189" s="141"/>
      <c r="CH189" s="141"/>
      <c r="CI189" s="141"/>
      <c r="CJ189" s="141"/>
      <c r="CK189" s="141"/>
      <c r="CL189" s="141"/>
      <c r="CM189" s="141"/>
      <c r="CN189" s="141"/>
      <c r="CO189" s="141"/>
    </row>
    <row r="190" spans="1:93">
      <c r="A190" s="36" t="s">
        <v>150</v>
      </c>
      <c r="B190" s="44"/>
      <c r="C190" s="37"/>
      <c r="D190" s="37"/>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141"/>
      <c r="CE190" s="141"/>
      <c r="CF190" s="141"/>
      <c r="CG190" s="141"/>
      <c r="CH190" s="141"/>
      <c r="CI190" s="141"/>
      <c r="CJ190" s="141"/>
      <c r="CK190" s="141"/>
      <c r="CL190" s="141"/>
      <c r="CM190" s="141"/>
      <c r="CN190" s="141"/>
      <c r="CO190" s="141"/>
    </row>
    <row r="191" spans="1:93">
      <c r="A191" s="140" t="s">
        <v>24</v>
      </c>
      <c r="B191" s="141"/>
      <c r="C191" s="142"/>
      <c r="D191" s="142"/>
      <c r="E191" s="141"/>
      <c r="F191" s="141"/>
      <c r="AR191" t="s">
        <v>25</v>
      </c>
      <c r="AS191" t="s">
        <v>25</v>
      </c>
      <c r="AT191" t="s">
        <v>25</v>
      </c>
      <c r="AU191" t="s">
        <v>25</v>
      </c>
      <c r="AV191" t="s">
        <v>25</v>
      </c>
      <c r="AW191" t="s">
        <v>25</v>
      </c>
      <c r="AX191" t="s">
        <v>25</v>
      </c>
      <c r="AY191" t="s">
        <v>25</v>
      </c>
      <c r="AZ191" t="s">
        <v>25</v>
      </c>
      <c r="BA191" t="s">
        <v>25</v>
      </c>
      <c r="BB191" t="s">
        <v>25</v>
      </c>
      <c r="BC191" t="s">
        <v>25</v>
      </c>
      <c r="BD191" s="141">
        <v>1</v>
      </c>
      <c r="BE191" s="141">
        <v>2</v>
      </c>
      <c r="BF191" s="141">
        <v>3</v>
      </c>
      <c r="BG191" s="141">
        <v>4</v>
      </c>
      <c r="BH191" s="141">
        <v>5</v>
      </c>
      <c r="BI191" s="141">
        <v>6</v>
      </c>
      <c r="BJ191" s="141">
        <v>7</v>
      </c>
      <c r="BK191" s="141">
        <v>8</v>
      </c>
      <c r="BL191" s="141">
        <v>9</v>
      </c>
      <c r="BM191" s="141">
        <v>10</v>
      </c>
      <c r="BN191" s="141">
        <v>11</v>
      </c>
      <c r="BO191" s="141">
        <v>12</v>
      </c>
      <c r="BP191" s="141">
        <v>13</v>
      </c>
      <c r="BQ191" s="141">
        <v>14</v>
      </c>
      <c r="BR191" s="141">
        <v>15</v>
      </c>
      <c r="BS191" s="141">
        <v>16</v>
      </c>
      <c r="BT191" s="141">
        <v>17</v>
      </c>
      <c r="BU191" s="141">
        <v>18</v>
      </c>
      <c r="BV191" s="141">
        <v>19</v>
      </c>
      <c r="BW191" s="141">
        <v>20</v>
      </c>
      <c r="BX191" s="141">
        <v>21</v>
      </c>
      <c r="BY191" s="141">
        <v>22</v>
      </c>
      <c r="BZ191" s="141">
        <v>23</v>
      </c>
      <c r="CA191" s="141">
        <v>24</v>
      </c>
      <c r="CB191" s="141">
        <v>25</v>
      </c>
      <c r="CC191" s="141">
        <v>26</v>
      </c>
    </row>
    <row r="192" spans="1:93">
      <c r="A192" s="41"/>
      <c r="B192" s="26" t="s">
        <v>28</v>
      </c>
      <c r="C192" s="27"/>
      <c r="D192" s="71">
        <f>SUM(F192:CQ192)</f>
        <v>-2006856.4273876348</v>
      </c>
      <c r="BD192" s="71">
        <f>PMT($D$166,$D$170,$D$171)</f>
        <v>-77186.785668755183</v>
      </c>
      <c r="BE192" s="71">
        <f t="shared" ref="BE192:CC192" si="106">PMT($D$166,$D$170,$D$171)</f>
        <v>-77186.785668755183</v>
      </c>
      <c r="BF192" s="71">
        <f t="shared" si="106"/>
        <v>-77186.785668755183</v>
      </c>
      <c r="BG192" s="71">
        <f t="shared" si="106"/>
        <v>-77186.785668755183</v>
      </c>
      <c r="BH192" s="71">
        <f t="shared" si="106"/>
        <v>-77186.785668755183</v>
      </c>
      <c r="BI192" s="71">
        <f t="shared" si="106"/>
        <v>-77186.785668755183</v>
      </c>
      <c r="BJ192" s="71">
        <f t="shared" si="106"/>
        <v>-77186.785668755183</v>
      </c>
      <c r="BK192" s="71">
        <f t="shared" si="106"/>
        <v>-77186.785668755183</v>
      </c>
      <c r="BL192" s="71">
        <f t="shared" si="106"/>
        <v>-77186.785668755183</v>
      </c>
      <c r="BM192" s="71">
        <f t="shared" si="106"/>
        <v>-77186.785668755183</v>
      </c>
      <c r="BN192" s="71">
        <f t="shared" si="106"/>
        <v>-77186.785668755183</v>
      </c>
      <c r="BO192" s="71">
        <f t="shared" si="106"/>
        <v>-77186.785668755183</v>
      </c>
      <c r="BP192" s="71">
        <f t="shared" si="106"/>
        <v>-77186.785668755183</v>
      </c>
      <c r="BQ192" s="71">
        <f t="shared" si="106"/>
        <v>-77186.785668755183</v>
      </c>
      <c r="BR192" s="71">
        <f t="shared" si="106"/>
        <v>-77186.785668755183</v>
      </c>
      <c r="BS192" s="71">
        <f t="shared" si="106"/>
        <v>-77186.785668755183</v>
      </c>
      <c r="BT192" s="71">
        <f t="shared" si="106"/>
        <v>-77186.785668755183</v>
      </c>
      <c r="BU192" s="71">
        <f t="shared" si="106"/>
        <v>-77186.785668755183</v>
      </c>
      <c r="BV192" s="71">
        <f t="shared" si="106"/>
        <v>-77186.785668755183</v>
      </c>
      <c r="BW192" s="71">
        <f t="shared" si="106"/>
        <v>-77186.785668755183</v>
      </c>
      <c r="BX192" s="71">
        <f t="shared" si="106"/>
        <v>-77186.785668755183</v>
      </c>
      <c r="BY192" s="71">
        <f t="shared" si="106"/>
        <v>-77186.785668755183</v>
      </c>
      <c r="BZ192" s="71">
        <f t="shared" si="106"/>
        <v>-77186.785668755183</v>
      </c>
      <c r="CA192" s="71">
        <f t="shared" si="106"/>
        <v>-77186.785668755183</v>
      </c>
      <c r="CB192" s="71">
        <f t="shared" si="106"/>
        <v>-77186.785668755183</v>
      </c>
      <c r="CC192" s="71">
        <f t="shared" si="106"/>
        <v>-77186.785668755183</v>
      </c>
    </row>
    <row r="193" spans="1:81">
      <c r="A193" s="41"/>
      <c r="B193" s="27"/>
      <c r="C193" s="27" t="s">
        <v>29</v>
      </c>
      <c r="D193" s="71">
        <f t="shared" ref="D193:D198" si="107">SUM(F193:CQ193)</f>
        <v>-1303712</v>
      </c>
      <c r="BD193" s="71">
        <f>PPMT($D$166,BD$191,$D$170,$D$171)</f>
        <v>-31556.865668755181</v>
      </c>
      <c r="BE193" s="71">
        <f t="shared" ref="BE193:CC193" si="108">PPMT($D$166,BE$191,$D$170,$D$171)</f>
        <v>-32661.355967161613</v>
      </c>
      <c r="BF193" s="71">
        <f t="shared" si="108"/>
        <v>-33804.50342601227</v>
      </c>
      <c r="BG193" s="71">
        <f t="shared" si="108"/>
        <v>-34987.661045922694</v>
      </c>
      <c r="BH193" s="71">
        <f t="shared" si="108"/>
        <v>-36212.229182529991</v>
      </c>
      <c r="BI193" s="71">
        <f t="shared" si="108"/>
        <v>-37479.657203918541</v>
      </c>
      <c r="BJ193" s="71">
        <f t="shared" si="108"/>
        <v>-38791.445206055694</v>
      </c>
      <c r="BK193" s="71">
        <f t="shared" si="108"/>
        <v>-40149.145788267633</v>
      </c>
      <c r="BL193" s="71">
        <f t="shared" si="108"/>
        <v>-41554.365890857007</v>
      </c>
      <c r="BM193" s="71">
        <f t="shared" si="108"/>
        <v>-43008.768697036998</v>
      </c>
      <c r="BN193" s="71">
        <f t="shared" si="108"/>
        <v>-44514.075601433302</v>
      </c>
      <c r="BO193" s="71">
        <f t="shared" si="108"/>
        <v>-46072.068247483461</v>
      </c>
      <c r="BP193" s="71">
        <f t="shared" si="108"/>
        <v>-47684.590636145382</v>
      </c>
      <c r="BQ193" s="71">
        <f t="shared" si="108"/>
        <v>-49353.551308410475</v>
      </c>
      <c r="BR193" s="71">
        <f t="shared" si="108"/>
        <v>-51080.925604204836</v>
      </c>
      <c r="BS193" s="71">
        <f t="shared" si="108"/>
        <v>-52868.758000352012</v>
      </c>
      <c r="BT193" s="71">
        <f t="shared" si="108"/>
        <v>-54719.164530364331</v>
      </c>
      <c r="BU193" s="71">
        <f t="shared" si="108"/>
        <v>-56634.335288927068</v>
      </c>
      <c r="BV193" s="71">
        <f t="shared" si="108"/>
        <v>-58616.537024039535</v>
      </c>
      <c r="BW193" s="71">
        <f t="shared" si="108"/>
        <v>-60668.115819880906</v>
      </c>
      <c r="BX193" s="71">
        <f t="shared" si="108"/>
        <v>-62791.499873576744</v>
      </c>
      <c r="BY193" s="71">
        <f t="shared" si="108"/>
        <v>-64989.202369151928</v>
      </c>
      <c r="BZ193" s="71">
        <f t="shared" si="108"/>
        <v>-67263.824452072236</v>
      </c>
      <c r="CA193" s="71">
        <f t="shared" si="108"/>
        <v>-69618.058307894767</v>
      </c>
      <c r="CB193" s="71">
        <f t="shared" si="108"/>
        <v>-72054.69034867108</v>
      </c>
      <c r="CC193" s="71">
        <f t="shared" si="108"/>
        <v>-74576.604510874575</v>
      </c>
    </row>
    <row r="194" spans="1:81">
      <c r="A194" s="41"/>
      <c r="B194" s="27"/>
      <c r="C194" s="27" t="s">
        <v>30</v>
      </c>
      <c r="D194" s="71">
        <f t="shared" si="107"/>
        <v>-703144.42738763464</v>
      </c>
      <c r="BD194" s="71">
        <f>IPMT($D$166,BD$191,$D$170,$D$171)</f>
        <v>-45629.920000000006</v>
      </c>
      <c r="BE194" s="71">
        <f t="shared" ref="BE194:CC194" si="109">IPMT($D$166,BE$191,$D$170,$D$171)</f>
        <v>-44525.429701593581</v>
      </c>
      <c r="BF194" s="71">
        <f t="shared" si="109"/>
        <v>-43382.28224274292</v>
      </c>
      <c r="BG194" s="71">
        <f t="shared" si="109"/>
        <v>-42199.124622832489</v>
      </c>
      <c r="BH194" s="71">
        <f t="shared" si="109"/>
        <v>-40974.556486225199</v>
      </c>
      <c r="BI194" s="71">
        <f t="shared" si="109"/>
        <v>-39707.128464836642</v>
      </c>
      <c r="BJ194" s="71">
        <f t="shared" si="109"/>
        <v>-38395.340462699496</v>
      </c>
      <c r="BK194" s="71">
        <f t="shared" si="109"/>
        <v>-37037.63988048755</v>
      </c>
      <c r="BL194" s="71">
        <f t="shared" si="109"/>
        <v>-35632.419777898183</v>
      </c>
      <c r="BM194" s="71">
        <f t="shared" si="109"/>
        <v>-34178.016971718178</v>
      </c>
      <c r="BN194" s="71">
        <f t="shared" si="109"/>
        <v>-32672.710067321896</v>
      </c>
      <c r="BO194" s="71">
        <f t="shared" si="109"/>
        <v>-31114.717421271722</v>
      </c>
      <c r="BP194" s="71">
        <f t="shared" si="109"/>
        <v>-29502.195032609801</v>
      </c>
      <c r="BQ194" s="71">
        <f t="shared" si="109"/>
        <v>-27833.234360344719</v>
      </c>
      <c r="BR194" s="71">
        <f t="shared" si="109"/>
        <v>-26105.860064550347</v>
      </c>
      <c r="BS194" s="71">
        <f t="shared" si="109"/>
        <v>-24318.027668403181</v>
      </c>
      <c r="BT194" s="71">
        <f t="shared" si="109"/>
        <v>-22467.621138390859</v>
      </c>
      <c r="BU194" s="71">
        <f t="shared" si="109"/>
        <v>-20552.450379828108</v>
      </c>
      <c r="BV194" s="71">
        <f t="shared" si="109"/>
        <v>-18570.248644715663</v>
      </c>
      <c r="BW194" s="71">
        <f t="shared" si="109"/>
        <v>-16518.669848874277</v>
      </c>
      <c r="BX194" s="71">
        <f t="shared" si="109"/>
        <v>-14395.285795178444</v>
      </c>
      <c r="BY194" s="71">
        <f t="shared" si="109"/>
        <v>-12197.583299603262</v>
      </c>
      <c r="BZ194" s="71">
        <f t="shared" si="109"/>
        <v>-9922.9612166829411</v>
      </c>
      <c r="CA194" s="71">
        <f t="shared" si="109"/>
        <v>-7568.7273608604137</v>
      </c>
      <c r="CB194" s="71">
        <f t="shared" si="109"/>
        <v>-5132.0953200840977</v>
      </c>
      <c r="CC194" s="71">
        <f t="shared" si="109"/>
        <v>-2610.18115788061</v>
      </c>
    </row>
    <row r="195" spans="1:81">
      <c r="A195" s="41"/>
      <c r="B195" s="33" t="s">
        <v>31</v>
      </c>
      <c r="C195" s="42"/>
      <c r="D195" s="71"/>
      <c r="BC195" s="130">
        <f>D171</f>
        <v>1303712</v>
      </c>
      <c r="BD195" s="71">
        <f>BC195+BD193</f>
        <v>1272155.1343312447</v>
      </c>
      <c r="BE195" s="71">
        <f t="shared" ref="BE195:CC195" si="110">BD195+BE193</f>
        <v>1239493.778364083</v>
      </c>
      <c r="BF195" s="71">
        <f t="shared" si="110"/>
        <v>1205689.2749380707</v>
      </c>
      <c r="BG195" s="71">
        <f t="shared" si="110"/>
        <v>1170701.613892148</v>
      </c>
      <c r="BH195" s="71">
        <f t="shared" si="110"/>
        <v>1134489.3847096181</v>
      </c>
      <c r="BI195" s="71">
        <f t="shared" si="110"/>
        <v>1097009.7275056995</v>
      </c>
      <c r="BJ195" s="71">
        <f t="shared" si="110"/>
        <v>1058218.2822996438</v>
      </c>
      <c r="BK195" s="71">
        <f t="shared" si="110"/>
        <v>1018069.1365113762</v>
      </c>
      <c r="BL195" s="71">
        <f t="shared" si="110"/>
        <v>976514.7706205193</v>
      </c>
      <c r="BM195" s="71">
        <f t="shared" si="110"/>
        <v>933506.00192348228</v>
      </c>
      <c r="BN195" s="71">
        <f t="shared" si="110"/>
        <v>888991.926322049</v>
      </c>
      <c r="BO195" s="71">
        <f t="shared" si="110"/>
        <v>842919.85807456553</v>
      </c>
      <c r="BP195" s="71">
        <f t="shared" si="110"/>
        <v>795235.26743842009</v>
      </c>
      <c r="BQ195" s="71">
        <f t="shared" si="110"/>
        <v>745881.71613000962</v>
      </c>
      <c r="BR195" s="71">
        <f t="shared" si="110"/>
        <v>694800.79052580474</v>
      </c>
      <c r="BS195" s="71">
        <f t="shared" si="110"/>
        <v>641932.03252545279</v>
      </c>
      <c r="BT195" s="71">
        <f t="shared" si="110"/>
        <v>587212.86799508845</v>
      </c>
      <c r="BU195" s="71">
        <f t="shared" si="110"/>
        <v>530578.53270616138</v>
      </c>
      <c r="BV195" s="71">
        <f t="shared" si="110"/>
        <v>471961.99568212184</v>
      </c>
      <c r="BW195" s="71">
        <f t="shared" si="110"/>
        <v>411293.87986224092</v>
      </c>
      <c r="BX195" s="71">
        <f t="shared" si="110"/>
        <v>348502.37998866418</v>
      </c>
      <c r="BY195" s="71">
        <f t="shared" si="110"/>
        <v>283513.17761951225</v>
      </c>
      <c r="BZ195" s="71">
        <f t="shared" si="110"/>
        <v>216249.35316744001</v>
      </c>
      <c r="CA195" s="71">
        <f t="shared" si="110"/>
        <v>146631.29485954525</v>
      </c>
      <c r="CB195" s="71">
        <f t="shared" si="110"/>
        <v>74576.604510874167</v>
      </c>
      <c r="CC195" s="71">
        <f t="shared" si="110"/>
        <v>-4.0745362639427185E-10</v>
      </c>
    </row>
    <row r="196" spans="1:81" ht="21">
      <c r="A196" s="43"/>
      <c r="B196" s="26" t="s">
        <v>32</v>
      </c>
      <c r="C196" s="27"/>
      <c r="D196" s="71">
        <f t="shared" si="107"/>
        <v>-17166.334125279594</v>
      </c>
      <c r="BD196" s="71">
        <f>BD192*BD177</f>
        <v>-1279.6082742531564</v>
      </c>
      <c r="BE196" s="71">
        <f t="shared" ref="BE196:CC196" si="111">BE192*BE177</f>
        <v>-1203.6574868339353</v>
      </c>
      <c r="BF196" s="71">
        <f t="shared" si="111"/>
        <v>-1132.2147369334352</v>
      </c>
      <c r="BG196" s="71">
        <f t="shared" si="111"/>
        <v>-1065.012451258993</v>
      </c>
      <c r="BH196" s="71">
        <f t="shared" si="111"/>
        <v>-1001.7989382550963</v>
      </c>
      <c r="BI196" s="71">
        <f t="shared" si="111"/>
        <v>-942.33744544736749</v>
      </c>
      <c r="BJ196" s="71">
        <f t="shared" si="111"/>
        <v>-886.40527273762359</v>
      </c>
      <c r="BK196" s="71">
        <f t="shared" si="111"/>
        <v>-833.79293832905978</v>
      </c>
      <c r="BL196" s="71">
        <f t="shared" si="111"/>
        <v>-784.30339415770845</v>
      </c>
      <c r="BM196" s="71">
        <f t="shared" si="111"/>
        <v>-737.75128789173982</v>
      </c>
      <c r="BN196" s="71">
        <f t="shared" si="111"/>
        <v>-693.96226873458738</v>
      </c>
      <c r="BO196" s="71">
        <f t="shared" si="111"/>
        <v>-652.77233443193245</v>
      </c>
      <c r="BP196" s="71">
        <f t="shared" si="111"/>
        <v>-614.02721703690372</v>
      </c>
      <c r="BQ196" s="71">
        <f t="shared" si="111"/>
        <v>-577.58180513301102</v>
      </c>
      <c r="BR196" s="71">
        <f t="shared" si="111"/>
        <v>-543.29960035087106</v>
      </c>
      <c r="BS196" s="71">
        <f t="shared" si="111"/>
        <v>-511.05220614323298</v>
      </c>
      <c r="BT196" s="71">
        <f t="shared" si="111"/>
        <v>-480.71884690361486</v>
      </c>
      <c r="BU196" s="71">
        <f t="shared" si="111"/>
        <v>-452.18591562751857</v>
      </c>
      <c r="BV196" s="71">
        <f t="shared" si="111"/>
        <v>-425.34654842208488</v>
      </c>
      <c r="BW196" s="71">
        <f t="shared" si="111"/>
        <v>-400.10022427060954</v>
      </c>
      <c r="BX196" s="71">
        <f t="shared" si="111"/>
        <v>-376.35238855292022</v>
      </c>
      <c r="BY196" s="71">
        <f t="shared" si="111"/>
        <v>-354.01409891159835</v>
      </c>
      <c r="BZ196" s="71">
        <f t="shared" si="111"/>
        <v>-333.00169213770897</v>
      </c>
      <c r="CA196" s="71">
        <f t="shared" si="111"/>
        <v>-313.23647082843479</v>
      </c>
      <c r="CB196" s="71">
        <f t="shared" si="111"/>
        <v>-294.64440864305772</v>
      </c>
      <c r="CC196" s="71">
        <f t="shared" si="111"/>
        <v>-277.15587305338897</v>
      </c>
    </row>
    <row r="197" spans="1:81">
      <c r="A197" s="27"/>
      <c r="B197" s="27"/>
      <c r="C197" s="27" t="s">
        <v>29</v>
      </c>
      <c r="D197" s="71">
        <f t="shared" si="107"/>
        <v>-9929.0778899237466</v>
      </c>
      <c r="BD197" s="71">
        <f>BD193*BD177</f>
        <v>-523.15206637216261</v>
      </c>
      <c r="BE197" s="71">
        <f t="shared" ref="BE197:CC197" si="112">BE193*BE177</f>
        <v>-509.32404166605994</v>
      </c>
      <c r="BF197" s="71">
        <f t="shared" si="112"/>
        <v>-495.86152114041198</v>
      </c>
      <c r="BG197" s="71">
        <f t="shared" si="112"/>
        <v>-482.75484374031265</v>
      </c>
      <c r="BH197" s="71">
        <f t="shared" si="112"/>
        <v>-469.99460377313858</v>
      </c>
      <c r="BI197" s="71">
        <f t="shared" si="112"/>
        <v>-457.57164415877946</v>
      </c>
      <c r="BJ197" s="71">
        <f t="shared" si="112"/>
        <v>-445.47704985827943</v>
      </c>
      <c r="BK197" s="71">
        <f t="shared" si="112"/>
        <v>-433.70214147617253</v>
      </c>
      <c r="BL197" s="71">
        <f t="shared" si="112"/>
        <v>-422.23846903192424</v>
      </c>
      <c r="BM197" s="71">
        <f t="shared" si="112"/>
        <v>-411.07780589600378</v>
      </c>
      <c r="BN197" s="71">
        <f t="shared" si="112"/>
        <v>-400.21214288624213</v>
      </c>
      <c r="BO197" s="71">
        <f t="shared" si="112"/>
        <v>-389.63368252023378</v>
      </c>
      <c r="BP197" s="71">
        <f t="shared" si="112"/>
        <v>-379.33483341966132</v>
      </c>
      <c r="BQ197" s="71">
        <f t="shared" si="112"/>
        <v>-369.30820486252435</v>
      </c>
      <c r="BR197" s="71">
        <f t="shared" si="112"/>
        <v>-359.54660147936477</v>
      </c>
      <c r="BS197" s="71">
        <f t="shared" si="112"/>
        <v>-350.04301808968353</v>
      </c>
      <c r="BT197" s="71">
        <f t="shared" si="112"/>
        <v>-340.79063467483996</v>
      </c>
      <c r="BU197" s="71">
        <f t="shared" si="112"/>
        <v>-331.78281148382973</v>
      </c>
      <c r="BV197" s="71">
        <f t="shared" si="112"/>
        <v>-323.01308426842616</v>
      </c>
      <c r="BW197" s="71">
        <f t="shared" si="112"/>
        <v>-314.47515964426776</v>
      </c>
      <c r="BX197" s="71">
        <f t="shared" si="112"/>
        <v>-306.16291057456226</v>
      </c>
      <c r="BY197" s="71">
        <f t="shared" si="112"/>
        <v>-298.07037197316521</v>
      </c>
      <c r="BZ197" s="71">
        <f t="shared" si="112"/>
        <v>-290.19173642387921</v>
      </c>
      <c r="CA197" s="71">
        <f t="shared" si="112"/>
        <v>-282.52135001290094</v>
      </c>
      <c r="CB197" s="71">
        <f t="shared" si="112"/>
        <v>-275.05370827142542</v>
      </c>
      <c r="CC197" s="71">
        <f t="shared" si="112"/>
        <v>-267.7834522254966</v>
      </c>
    </row>
    <row r="198" spans="1:81">
      <c r="A198" s="27"/>
      <c r="B198" s="27"/>
      <c r="C198" s="27" t="s">
        <v>30</v>
      </c>
      <c r="D198" s="71">
        <f t="shared" si="107"/>
        <v>-7237.2562353558424</v>
      </c>
      <c r="BD198" s="71">
        <f>BD194*BD177</f>
        <v>-756.45620788099404</v>
      </c>
      <c r="BE198" s="71">
        <f t="shared" ref="BE198:CC198" si="113">BE194*BE177</f>
        <v>-694.33344516787554</v>
      </c>
      <c r="BF198" s="71">
        <f t="shared" si="113"/>
        <v>-636.35321579302342</v>
      </c>
      <c r="BG198" s="71">
        <f t="shared" si="113"/>
        <v>-582.2576075186804</v>
      </c>
      <c r="BH198" s="71">
        <f t="shared" si="113"/>
        <v>-531.80433448195788</v>
      </c>
      <c r="BI198" s="71">
        <f t="shared" si="113"/>
        <v>-484.76580128858808</v>
      </c>
      <c r="BJ198" s="71">
        <f t="shared" si="113"/>
        <v>-440.92822287934428</v>
      </c>
      <c r="BK198" s="71">
        <f t="shared" si="113"/>
        <v>-400.09079685288731</v>
      </c>
      <c r="BL198" s="71">
        <f t="shared" si="113"/>
        <v>-362.06492512578433</v>
      </c>
      <c r="BM198" s="71">
        <f t="shared" si="113"/>
        <v>-326.67348199573593</v>
      </c>
      <c r="BN198" s="71">
        <f t="shared" si="113"/>
        <v>-293.75012584834536</v>
      </c>
      <c r="BO198" s="71">
        <f t="shared" si="113"/>
        <v>-263.13865191169862</v>
      </c>
      <c r="BP198" s="71">
        <f t="shared" si="113"/>
        <v>-234.69238361724246</v>
      </c>
      <c r="BQ198" s="71">
        <f t="shared" si="113"/>
        <v>-208.2736002704867</v>
      </c>
      <c r="BR198" s="71">
        <f t="shared" si="113"/>
        <v>-183.75299887150626</v>
      </c>
      <c r="BS198" s="71">
        <f t="shared" si="113"/>
        <v>-161.00918805354954</v>
      </c>
      <c r="BT198" s="71">
        <f t="shared" si="113"/>
        <v>-139.9282122287749</v>
      </c>
      <c r="BU198" s="71">
        <f t="shared" si="113"/>
        <v>-120.40310414368876</v>
      </c>
      <c r="BV198" s="71">
        <f t="shared" si="113"/>
        <v>-102.33346415365885</v>
      </c>
      <c r="BW198" s="71">
        <f t="shared" si="113"/>
        <v>-85.625064626341782</v>
      </c>
      <c r="BX198" s="71">
        <f t="shared" si="113"/>
        <v>-70.189477978357999</v>
      </c>
      <c r="BY198" s="71">
        <f t="shared" si="113"/>
        <v>-55.943726938433208</v>
      </c>
      <c r="BZ198" s="71">
        <f t="shared" si="113"/>
        <v>-42.809955713829758</v>
      </c>
      <c r="CA198" s="71">
        <f t="shared" si="113"/>
        <v>-30.715120815533808</v>
      </c>
      <c r="CB198" s="71">
        <f t="shared" si="113"/>
        <v>-19.590700371632277</v>
      </c>
      <c r="CC198" s="71">
        <f t="shared" si="113"/>
        <v>-9.3724208278923822</v>
      </c>
    </row>
  </sheetData>
  <mergeCells count="20">
    <mergeCell ref="A154:D154"/>
    <mergeCell ref="F154:G154"/>
    <mergeCell ref="F159:G159"/>
    <mergeCell ref="A164:D164"/>
    <mergeCell ref="F165:G165"/>
    <mergeCell ref="A104:D104"/>
    <mergeCell ref="F104:G104"/>
    <mergeCell ref="F109:G109"/>
    <mergeCell ref="A114:D114"/>
    <mergeCell ref="F115:G115"/>
    <mergeCell ref="F58:G58"/>
    <mergeCell ref="A63:D63"/>
    <mergeCell ref="F64:G64"/>
    <mergeCell ref="A3:D3"/>
    <mergeCell ref="F3:G3"/>
    <mergeCell ref="F8:G8"/>
    <mergeCell ref="A13:D13"/>
    <mergeCell ref="F14:G14"/>
    <mergeCell ref="A53:D53"/>
    <mergeCell ref="F53:G53"/>
  </mergeCells>
  <hyperlinks>
    <hyperlink ref="I58" r:id="rId1" display="https://ida.worldbank.org/sites/default/files/pdfs/grant_element_calculation_formula_2013.pdf" xr:uid="{7861E26E-D1E7-3C4A-B780-6BF98CF3BB7F}"/>
    <hyperlink ref="I59" r:id="rId2" xr:uid="{572E60EE-C2E0-1B43-B308-7AFFA9764F54}"/>
    <hyperlink ref="I109" r:id="rId3" display="https://ida.worldbank.org/sites/default/files/pdfs/grant_element_calculation_formula_2013.pdf" xr:uid="{79FBEC24-BC63-AA42-8FFD-A5E2462072A6}"/>
    <hyperlink ref="I110" r:id="rId4" xr:uid="{B8540F06-07A7-8043-8CF7-1EEE00BDBBE2}"/>
    <hyperlink ref="I159" r:id="rId5" display="https://ida.worldbank.org/sites/default/files/pdfs/grant_element_calculation_formula_2013.pdf" xr:uid="{ABB738CD-EE6F-1042-9884-1CBC6482B14F}"/>
    <hyperlink ref="I160" r:id="rId6" xr:uid="{3244E369-5C82-644D-BFF4-64EE9E0212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5652F-88C9-4B5C-AA10-D2AAC99E6DE2}">
  <sheetPr>
    <tabColor rgb="FF00B050"/>
  </sheetPr>
  <dimension ref="A1:L56"/>
  <sheetViews>
    <sheetView zoomScale="130" zoomScaleNormal="130" workbookViewId="0">
      <selection activeCell="H26" sqref="H26"/>
    </sheetView>
  </sheetViews>
  <sheetFormatPr defaultColWidth="11.19921875" defaultRowHeight="15.6"/>
  <cols>
    <col min="1" max="3" width="25" style="238" customWidth="1"/>
    <col min="4" max="4" width="20.69921875" style="238" customWidth="1"/>
    <col min="5" max="5" width="15.69921875" style="238" customWidth="1"/>
    <col min="6" max="6" width="18.296875" style="238" customWidth="1"/>
    <col min="7" max="8" width="20.5" style="238" customWidth="1"/>
    <col min="9" max="9" width="17.5" style="238" customWidth="1"/>
    <col min="10" max="10" width="18.296875" style="238" customWidth="1"/>
    <col min="11" max="11" width="19.69921875" style="238" customWidth="1"/>
    <col min="12" max="12" width="12" style="238" customWidth="1"/>
    <col min="13" max="15" width="11.19921875" style="238"/>
    <col min="16" max="16" width="15.5" style="238" customWidth="1"/>
    <col min="17" max="16384" width="11.19921875" style="238"/>
  </cols>
  <sheetData>
    <row r="1" spans="1:12" s="263" customFormat="1">
      <c r="A1" s="313" t="s">
        <v>118</v>
      </c>
      <c r="B1" s="313" t="s">
        <v>174</v>
      </c>
    </row>
    <row r="2" spans="1:12" s="263" customFormat="1">
      <c r="A2" s="314" t="s">
        <v>120</v>
      </c>
      <c r="B2" s="315">
        <v>6.91</v>
      </c>
    </row>
    <row r="3" spans="1:12" s="263" customFormat="1">
      <c r="A3" s="314" t="s">
        <v>124</v>
      </c>
      <c r="B3" s="315">
        <v>3.67</v>
      </c>
    </row>
    <row r="4" spans="1:12" s="263" customFormat="1">
      <c r="A4" s="314" t="s">
        <v>127</v>
      </c>
      <c r="B4" s="315">
        <v>0.89</v>
      </c>
    </row>
    <row r="5" spans="1:12" s="263" customFormat="1">
      <c r="A5" s="314" t="s">
        <v>131</v>
      </c>
      <c r="B5" s="315">
        <v>109.01</v>
      </c>
    </row>
    <row r="6" spans="1:12" s="263" customFormat="1">
      <c r="A6" s="314" t="s">
        <v>133</v>
      </c>
      <c r="B6" s="315">
        <v>0.3</v>
      </c>
    </row>
    <row r="7" spans="1:12" s="263" customFormat="1">
      <c r="A7" s="314" t="s">
        <v>135</v>
      </c>
      <c r="B7" s="315">
        <v>0.78</v>
      </c>
    </row>
    <row r="9" spans="1:12" ht="18">
      <c r="A9" s="335" t="s">
        <v>112</v>
      </c>
      <c r="B9" s="336"/>
      <c r="C9" s="336"/>
      <c r="D9" s="336"/>
      <c r="E9" s="336"/>
      <c r="F9" s="336"/>
      <c r="G9" s="336"/>
      <c r="H9" s="336"/>
      <c r="I9" s="336"/>
      <c r="J9" s="336"/>
      <c r="K9" s="336"/>
      <c r="L9" s="337"/>
    </row>
    <row r="10" spans="1:12">
      <c r="A10" s="96"/>
      <c r="B10" s="125" t="s">
        <v>108</v>
      </c>
      <c r="C10" s="332" t="s">
        <v>107</v>
      </c>
      <c r="D10" s="333"/>
      <c r="E10" s="334"/>
      <c r="F10" s="333" t="s">
        <v>106</v>
      </c>
      <c r="G10" s="333"/>
      <c r="H10" s="333"/>
      <c r="I10" s="334"/>
      <c r="J10" s="332" t="s">
        <v>109</v>
      </c>
      <c r="K10" s="333"/>
      <c r="L10" s="334"/>
    </row>
    <row r="11" spans="1:12">
      <c r="A11" s="97"/>
      <c r="B11" s="97"/>
      <c r="C11" s="98" t="s">
        <v>44</v>
      </c>
      <c r="D11" s="98" t="s">
        <v>45</v>
      </c>
      <c r="E11" s="252" t="s">
        <v>205</v>
      </c>
      <c r="F11" s="98" t="s">
        <v>91</v>
      </c>
      <c r="G11" s="98" t="s">
        <v>45</v>
      </c>
      <c r="H11" s="98" t="s">
        <v>267</v>
      </c>
      <c r="I11" s="252" t="s">
        <v>205</v>
      </c>
      <c r="J11" s="98" t="s">
        <v>44</v>
      </c>
      <c r="K11" s="98" t="s">
        <v>45</v>
      </c>
      <c r="L11" s="252" t="s">
        <v>90</v>
      </c>
    </row>
    <row r="12" spans="1:12">
      <c r="A12" s="95" t="s">
        <v>46</v>
      </c>
      <c r="B12" s="100">
        <f>Data!B5</f>
        <v>84000000</v>
      </c>
      <c r="C12" s="101">
        <f>'ROC Loan #1'!$G$8</f>
        <v>86757264.158401892</v>
      </c>
      <c r="D12" s="101">
        <f>'ROC Loan #1'!$G$14</f>
        <v>97970172.358230561</v>
      </c>
      <c r="E12" s="269">
        <f>(D12-C12)/C12</f>
        <v>0.12924460341852273</v>
      </c>
      <c r="F12" s="310">
        <f>'ROC Loan #1'!$G$9</f>
        <v>57430996.553470522</v>
      </c>
      <c r="G12" s="310">
        <f>'ROC Loan #1'!$G$15</f>
        <v>56894348.342077404</v>
      </c>
      <c r="H12" s="310">
        <f>G12-F12</f>
        <v>-536648.2113931179</v>
      </c>
      <c r="I12" s="277">
        <f>(G12-F12)/F12</f>
        <v>-9.344226003347814E-3</v>
      </c>
      <c r="J12" s="123">
        <f>'ROC Loan #1'!$F$19</f>
        <v>0.37174856851743532</v>
      </c>
      <c r="K12" s="123">
        <f>'ROC Loan #1'!$G$19</f>
        <v>0.38478230541559127</v>
      </c>
      <c r="L12" s="272">
        <f>K12-J12</f>
        <v>1.3033736898155956E-2</v>
      </c>
    </row>
    <row r="13" spans="1:12">
      <c r="A13" s="95" t="s">
        <v>47</v>
      </c>
      <c r="B13" s="100">
        <f>Data!B6</f>
        <v>88000000</v>
      </c>
      <c r="C13" s="101">
        <f>'ROC Loan #2'!$G$8</f>
        <v>90888562.451659128</v>
      </c>
      <c r="D13" s="101">
        <f>'ROC Loan #2'!$G$14</f>
        <v>102635418.6610035</v>
      </c>
      <c r="E13" s="269">
        <f t="shared" ref="E13:E20" si="0">(D13-C13)/C13</f>
        <v>0.12924460341852331</v>
      </c>
      <c r="F13" s="310">
        <f>'ROC Loan #2'!$G$9</f>
        <v>60165805.913159579</v>
      </c>
      <c r="G13" s="310">
        <f>'ROC Loan #2'!$G$15</f>
        <v>59603603.025033504</v>
      </c>
      <c r="H13" s="310">
        <f t="shared" ref="H13:H20" si="1">G13-F13</f>
        <v>-562202.88812607527</v>
      </c>
      <c r="I13" s="277">
        <f t="shared" ref="I13:I20" si="2">(G13-F13)/F13</f>
        <v>-9.3442260033470143E-3</v>
      </c>
      <c r="J13" s="123">
        <f>'ROC Loan #2'!$F$19</f>
        <v>0.37174856851743532</v>
      </c>
      <c r="K13" s="123">
        <f>'ROC Loan #2'!$G$19</f>
        <v>0.38478230541559127</v>
      </c>
      <c r="L13" s="272">
        <f t="shared" ref="L13:L20" si="3">K13-J13</f>
        <v>1.3033736898155956E-2</v>
      </c>
    </row>
    <row r="14" spans="1:12">
      <c r="A14" s="95" t="s">
        <v>48</v>
      </c>
      <c r="B14" s="100">
        <f>Data!B7</f>
        <v>1000000000</v>
      </c>
      <c r="C14" s="101">
        <f>'ROC Loan #3'!$G$8</f>
        <v>1039217601.0787655</v>
      </c>
      <c r="D14" s="101">
        <f>'ROC Loan #3'!$G$14</f>
        <v>1519720041.8123455</v>
      </c>
      <c r="E14" s="269">
        <f t="shared" si="0"/>
        <v>0.4623694212211108</v>
      </c>
      <c r="F14" s="310">
        <f>'ROC Loan #3'!$G$9</f>
        <v>796545795.73588562</v>
      </c>
      <c r="G14" s="310">
        <f>'ROC Loan #3'!$G$15</f>
        <v>1047162225.8469102</v>
      </c>
      <c r="H14" s="310">
        <f t="shared" si="1"/>
        <v>250616430.11102462</v>
      </c>
      <c r="I14" s="269">
        <f t="shared" si="2"/>
        <v>0.31462902880492094</v>
      </c>
      <c r="J14" s="123">
        <f>'ROC Loan #3'!$F$19</f>
        <v>0.42828846920337682</v>
      </c>
      <c r="K14" s="123">
        <f>'ROC Loan #3'!$G$19</f>
        <v>0.35319963292891138</v>
      </c>
      <c r="L14" s="273">
        <f t="shared" si="3"/>
        <v>-7.5088836274465443E-2</v>
      </c>
    </row>
    <row r="15" spans="1:12">
      <c r="A15" s="95" t="s">
        <v>49</v>
      </c>
      <c r="B15" s="100">
        <f>Data!B8</f>
        <v>96363372.650000006</v>
      </c>
      <c r="C15" s="101">
        <f>'ROC Loan #4'!$G$8</f>
        <v>100142512.95719221</v>
      </c>
      <c r="D15" s="101">
        <f>'ROC Loan #4'!$G$14</f>
        <v>120153624.34062389</v>
      </c>
      <c r="E15" s="269">
        <f t="shared" si="0"/>
        <v>0.19982633541446873</v>
      </c>
      <c r="F15" s="310">
        <f>'ROC Loan #4'!$G$9</f>
        <v>66202635.442816846</v>
      </c>
      <c r="G15" s="310">
        <f>'ROC Loan #4'!$G$15</f>
        <v>69418902.630641207</v>
      </c>
      <c r="H15" s="310">
        <f t="shared" si="1"/>
        <v>3216267.187824361</v>
      </c>
      <c r="I15" s="269">
        <f t="shared" si="2"/>
        <v>4.8582162421652267E-2</v>
      </c>
      <c r="J15" s="123">
        <f>'ROC Loan #4'!$F$19</f>
        <v>0.40223376150929058</v>
      </c>
      <c r="K15" s="123">
        <f>'ROC Loan #4'!$G$19</f>
        <v>0.39913732195457152</v>
      </c>
      <c r="L15" s="273">
        <f t="shared" si="3"/>
        <v>-3.0964395547190549E-3</v>
      </c>
    </row>
    <row r="16" spans="1:12">
      <c r="A16" s="95" t="s">
        <v>50</v>
      </c>
      <c r="B16" s="100">
        <f>Data!B9</f>
        <v>56043600</v>
      </c>
      <c r="C16" s="101">
        <f>'ROC Loan #5'!$G$8</f>
        <v>57526376.042003743</v>
      </c>
      <c r="D16" s="101">
        <f>'ROC Loan #5'!$G$14</f>
        <v>77241201.587934926</v>
      </c>
      <c r="E16" s="269">
        <f t="shared" si="0"/>
        <v>0.34270932574539559</v>
      </c>
      <c r="F16" s="310">
        <f>'ROC Loan #5'!$G$9</f>
        <v>42726376.413291194</v>
      </c>
      <c r="G16" s="310">
        <f>'ROC Loan #5'!$G$15</f>
        <v>48604043.473890148</v>
      </c>
      <c r="H16" s="310">
        <f t="shared" si="1"/>
        <v>5877667.0605989546</v>
      </c>
      <c r="I16" s="269">
        <f t="shared" si="2"/>
        <v>0.13756530635185218</v>
      </c>
      <c r="J16" s="123">
        <f>'ROC Loan #5'!$F$19</f>
        <v>0.33882226642123925</v>
      </c>
      <c r="K16" s="123">
        <f>'ROC Loan #5'!$G$19</f>
        <v>0.36936276656355727</v>
      </c>
      <c r="L16" s="272">
        <f t="shared" si="3"/>
        <v>3.0540500142318017E-2</v>
      </c>
    </row>
    <row r="17" spans="1:12">
      <c r="A17" s="95" t="s">
        <v>51</v>
      </c>
      <c r="B17" s="100">
        <f>Data!B10</f>
        <v>54800000</v>
      </c>
      <c r="C17" s="101">
        <f>'ROC Loan #6'!$G$8</f>
        <v>56110707.142887428</v>
      </c>
      <c r="D17" s="101">
        <f>'ROC Loan #6'!$G$14</f>
        <v>70815942.799030215</v>
      </c>
      <c r="E17" s="269">
        <f t="shared" si="0"/>
        <v>0.26207539353755616</v>
      </c>
      <c r="F17" s="310">
        <f>'ROC Loan #6'!$G$9</f>
        <v>46686125.778261527</v>
      </c>
      <c r="G17" s="310">
        <f>'ROC Loan #6'!$G$15</f>
        <v>52972176.32553377</v>
      </c>
      <c r="H17" s="310">
        <f t="shared" si="1"/>
        <v>6286050.5472722426</v>
      </c>
      <c r="I17" s="269">
        <f t="shared" si="2"/>
        <v>0.13464493877963243</v>
      </c>
      <c r="J17" s="123">
        <f>'ROC Loan #6'!$F$19</f>
        <v>0.32491816195560769</v>
      </c>
      <c r="K17" s="123">
        <f>'ROC Loan #6'!$G$19</f>
        <v>0.36287602724746226</v>
      </c>
      <c r="L17" s="272">
        <f t="shared" si="3"/>
        <v>3.7957865291854576E-2</v>
      </c>
    </row>
    <row r="18" spans="1:12">
      <c r="A18" s="95" t="s">
        <v>52</v>
      </c>
      <c r="B18" s="100">
        <f>Data!B11</f>
        <v>328100000</v>
      </c>
      <c r="C18" s="101">
        <f>'ROC Loan #7'!$G$8</f>
        <v>338869742.50442439</v>
      </c>
      <c r="D18" s="101">
        <f>'ROC Loan #7'!$G$14</f>
        <v>456934445.63448906</v>
      </c>
      <c r="E18" s="269">
        <f t="shared" si="0"/>
        <v>0.34840733273353014</v>
      </c>
      <c r="F18" s="310">
        <f>'ROC Loan #7'!$G$9</f>
        <v>242230172.34695789</v>
      </c>
      <c r="G18" s="310">
        <f>'ROC Loan #7'!$G$15</f>
        <v>279852367.50310796</v>
      </c>
      <c r="H18" s="310">
        <f t="shared" si="1"/>
        <v>37622195.156150073</v>
      </c>
      <c r="I18" s="269">
        <f t="shared" si="2"/>
        <v>0.15531589145823665</v>
      </c>
      <c r="J18" s="123">
        <f>'ROC Loan #7'!$F$19</f>
        <v>0.37174856851743532</v>
      </c>
      <c r="K18" s="123">
        <f>'ROC Loan #7'!$G$19</f>
        <v>0.38478230541559127</v>
      </c>
      <c r="L18" s="272">
        <f t="shared" si="3"/>
        <v>1.3033736898155956E-2</v>
      </c>
    </row>
    <row r="19" spans="1:12">
      <c r="A19" s="103" t="s">
        <v>53</v>
      </c>
      <c r="B19" s="105">
        <f>Data!B12</f>
        <v>19191458.399999999</v>
      </c>
      <c r="C19" s="102">
        <f>'ROC Loan #8'!$G$8</f>
        <v>19699217.265002087</v>
      </c>
      <c r="D19" s="102">
        <f>'ROC Loan #8'!$G$14</f>
        <v>26450322.731603</v>
      </c>
      <c r="E19" s="269">
        <f t="shared" si="0"/>
        <v>0.3427093257453952</v>
      </c>
      <c r="F19" s="311">
        <f>'ROC Loan #8'!$G$9</f>
        <v>14631134.964891963</v>
      </c>
      <c r="G19" s="311">
        <f>'ROC Loan #8'!$G$15</f>
        <v>16643871.528612621</v>
      </c>
      <c r="H19" s="311">
        <f t="shared" si="1"/>
        <v>2012736.5637206584</v>
      </c>
      <c r="I19" s="269">
        <f t="shared" si="2"/>
        <v>0.13756530635185216</v>
      </c>
      <c r="J19" s="124">
        <f>'ROC Loan #8'!$F$19</f>
        <v>0.33882226642123925</v>
      </c>
      <c r="K19" s="124">
        <f>'ROC Loan #8'!$G$19</f>
        <v>0.36936276656355727</v>
      </c>
      <c r="L19" s="274">
        <f t="shared" si="3"/>
        <v>3.0540500142318017E-2</v>
      </c>
    </row>
    <row r="20" spans="1:12" ht="18">
      <c r="A20" s="104" t="s">
        <v>54</v>
      </c>
      <c r="B20" s="106">
        <f>SUM(B12:B19)</f>
        <v>1726498431.0500002</v>
      </c>
      <c r="C20" s="102">
        <f t="shared" ref="C20:G20" si="4">SUM(C12:C19)</f>
        <v>1789211983.6003361</v>
      </c>
      <c r="D20" s="102">
        <f t="shared" si="4"/>
        <v>2471921169.925261</v>
      </c>
      <c r="E20" s="270">
        <f t="shared" si="0"/>
        <v>0.38156975952684241</v>
      </c>
      <c r="F20" s="311">
        <f t="shared" si="4"/>
        <v>1326619043.148735</v>
      </c>
      <c r="G20" s="311">
        <f t="shared" si="4"/>
        <v>1631151538.675807</v>
      </c>
      <c r="H20" s="312">
        <f t="shared" si="1"/>
        <v>304532495.52707195</v>
      </c>
      <c r="I20" s="271">
        <f t="shared" si="2"/>
        <v>0.22955534755800203</v>
      </c>
      <c r="J20" s="124">
        <f>SUMPRODUCT(J12:J19,$B12:$B19)/$B20</f>
        <v>0.40327714518965763</v>
      </c>
      <c r="K20" s="124">
        <f>SUMPRODUCT(K12:K19,$B12:$B19)/$B20</f>
        <v>0.36592336639623591</v>
      </c>
      <c r="L20" s="275">
        <f t="shared" si="3"/>
        <v>-3.7353778793421721E-2</v>
      </c>
    </row>
    <row r="21" spans="1:12">
      <c r="I21" s="239"/>
    </row>
    <row r="23" spans="1:12" ht="18">
      <c r="A23" s="335" t="s">
        <v>117</v>
      </c>
      <c r="B23" s="336"/>
      <c r="C23" s="336"/>
      <c r="D23" s="336"/>
      <c r="E23" s="336"/>
      <c r="F23" s="336"/>
      <c r="G23" s="336"/>
      <c r="H23" s="336"/>
      <c r="I23" s="336"/>
      <c r="J23" s="336"/>
      <c r="K23" s="336"/>
      <c r="L23" s="268"/>
    </row>
    <row r="24" spans="1:12">
      <c r="A24" s="96"/>
      <c r="B24" s="125" t="s">
        <v>108</v>
      </c>
      <c r="C24" s="332" t="s">
        <v>107</v>
      </c>
      <c r="D24" s="333"/>
      <c r="E24" s="334"/>
      <c r="F24" s="333" t="s">
        <v>106</v>
      </c>
      <c r="G24" s="333"/>
      <c r="H24" s="333"/>
      <c r="I24" s="334"/>
      <c r="J24" s="332" t="s">
        <v>109</v>
      </c>
      <c r="K24" s="333"/>
      <c r="L24" s="334"/>
    </row>
    <row r="25" spans="1:12">
      <c r="A25" s="97"/>
      <c r="B25" s="97"/>
      <c r="C25" s="98" t="s">
        <v>44</v>
      </c>
      <c r="D25" s="98" t="s">
        <v>45</v>
      </c>
      <c r="E25" s="252" t="s">
        <v>205</v>
      </c>
      <c r="F25" s="98" t="s">
        <v>91</v>
      </c>
      <c r="G25" s="98" t="s">
        <v>45</v>
      </c>
      <c r="H25" s="98"/>
      <c r="I25" s="252" t="s">
        <v>205</v>
      </c>
      <c r="J25" s="98" t="s">
        <v>44</v>
      </c>
      <c r="K25" s="98" t="s">
        <v>45</v>
      </c>
      <c r="L25" s="252" t="s">
        <v>90</v>
      </c>
    </row>
    <row r="26" spans="1:12">
      <c r="A26" s="111" t="s">
        <v>99</v>
      </c>
      <c r="B26" s="106">
        <f>Data!B16</f>
        <v>551507000</v>
      </c>
      <c r="C26" s="112">
        <f>'ROC CMEC 2018 Loan'!G8</f>
        <v>565400270.88980782</v>
      </c>
      <c r="D26" s="112">
        <f>'ROC CMEC 2018 Loan'!G14</f>
        <v>567007752.59102774</v>
      </c>
      <c r="E26" s="269">
        <f>(D26-C26)/C26</f>
        <v>2.8430861886396268E-3</v>
      </c>
      <c r="F26" s="312">
        <f>'ROC CMEC 2018 Loan'!G9</f>
        <v>331557351.05209541</v>
      </c>
      <c r="G26" s="312">
        <f>'ROC CMEC 2018 Loan'!G15</f>
        <v>246670965.62366009</v>
      </c>
      <c r="H26" s="312">
        <f>G26-F26</f>
        <v>-84886385.428435326</v>
      </c>
      <c r="I26" s="277">
        <f t="shared" ref="I26" si="5">(G26-F26)/F26</f>
        <v>-0.25602323446931413</v>
      </c>
      <c r="J26" s="124">
        <f>'ROC CMEC 2018 Loan'!F19</f>
        <v>0.39736840333355611</v>
      </c>
      <c r="K26" s="124">
        <f>'ROC CMEC 2018 Loan'!G19</f>
        <v>0.59423348501124684</v>
      </c>
      <c r="L26" s="274">
        <f>K26-J26</f>
        <v>0.19686508167769073</v>
      </c>
    </row>
    <row r="27" spans="1:12">
      <c r="E27" s="239"/>
      <c r="I27" s="239"/>
    </row>
    <row r="29" spans="1:12" ht="18">
      <c r="A29" s="335" t="s">
        <v>242</v>
      </c>
      <c r="B29" s="336"/>
      <c r="C29" s="336"/>
      <c r="D29" s="336"/>
      <c r="E29" s="336"/>
      <c r="F29" s="336"/>
      <c r="G29" s="336"/>
      <c r="H29" s="336"/>
      <c r="I29" s="336"/>
      <c r="J29" s="336"/>
      <c r="K29" s="336"/>
      <c r="L29" s="337"/>
    </row>
    <row r="30" spans="1:12">
      <c r="A30" s="96"/>
      <c r="B30" s="125" t="s">
        <v>168</v>
      </c>
      <c r="C30" s="329" t="s">
        <v>107</v>
      </c>
      <c r="D30" s="330"/>
      <c r="E30" s="331"/>
      <c r="F30" s="329" t="s">
        <v>106</v>
      </c>
      <c r="G30" s="330"/>
      <c r="H30" s="330"/>
      <c r="I30" s="331"/>
      <c r="J30" s="329" t="s">
        <v>109</v>
      </c>
      <c r="K30" s="330"/>
      <c r="L30" s="331"/>
    </row>
    <row r="31" spans="1:12">
      <c r="A31" s="97"/>
      <c r="B31" s="97"/>
      <c r="C31" s="98" t="s">
        <v>44</v>
      </c>
      <c r="D31" s="98" t="s">
        <v>45</v>
      </c>
      <c r="E31" s="252" t="s">
        <v>205</v>
      </c>
      <c r="F31" s="98" t="s">
        <v>91</v>
      </c>
      <c r="G31" s="98" t="s">
        <v>45</v>
      </c>
      <c r="H31" s="98"/>
      <c r="I31" s="252" t="s">
        <v>205</v>
      </c>
      <c r="J31" s="98" t="s">
        <v>44</v>
      </c>
      <c r="K31" s="98" t="s">
        <v>45</v>
      </c>
      <c r="L31" s="252" t="s">
        <v>90</v>
      </c>
    </row>
    <row r="32" spans="1:12">
      <c r="A32" s="95" t="s">
        <v>46</v>
      </c>
      <c r="B32" s="116">
        <f>Data!B22/B2</f>
        <v>7235890.0144717796</v>
      </c>
      <c r="C32" s="101">
        <f>'Seychelles Loan #1'!G8/B2</f>
        <v>8210674.0917179286</v>
      </c>
      <c r="D32" s="101">
        <f>'Seychelles Loan #1'!G14/B2</f>
        <v>7788759.0008301493</v>
      </c>
      <c r="E32" s="277">
        <f>(D32-C32)/C32</f>
        <v>-5.1386169536720899E-2</v>
      </c>
      <c r="F32" s="101">
        <f>'Seychelles Loan #1'!G9/B2</f>
        <v>3732640.7110743574</v>
      </c>
      <c r="G32" s="310">
        <f>'Seychelles Loan #1'!G15/B2</f>
        <v>1022603.6669252109</v>
      </c>
      <c r="H32" s="310">
        <f>G32-F32</f>
        <v>-2710037.0441491464</v>
      </c>
      <c r="I32" s="277">
        <f t="shared" ref="I32:I35" si="6">(G32-F32)/F32</f>
        <v>-0.7260374769285316</v>
      </c>
      <c r="J32" s="123">
        <f>'Seychelles Loan #1'!$F$19</f>
        <v>0.25013911532862199</v>
      </c>
      <c r="K32" s="123">
        <f>'Seychelles Loan #1'!$G$19</f>
        <v>0.46284074355930099</v>
      </c>
      <c r="L32" s="272">
        <f>K32-J32</f>
        <v>0.21270162823067901</v>
      </c>
    </row>
    <row r="33" spans="1:12">
      <c r="A33" s="95" t="s">
        <v>241</v>
      </c>
      <c r="B33" s="116">
        <f>Data!B23/B2</f>
        <v>12732272.069464544</v>
      </c>
      <c r="C33" s="101">
        <f>'Seychelles Loan #2'!G8/B2</f>
        <v>15128774.140051872</v>
      </c>
      <c r="D33" s="101">
        <f>'Seychelles Loan #2'!G14/B2</f>
        <v>14433031.037104141</v>
      </c>
      <c r="E33" s="277">
        <f t="shared" ref="E33:E35" si="7">(D33-C33)/C33</f>
        <v>-4.5988068597430001E-2</v>
      </c>
      <c r="F33" s="101">
        <f>'Seychelles Loan #2'!G9/B2</f>
        <v>9972275.0223590601</v>
      </c>
      <c r="G33" s="310">
        <f>'Seychelles Loan #2'!G15/B2</f>
        <v>1610830.4282171058</v>
      </c>
      <c r="H33" s="310">
        <f t="shared" ref="H33:H35" si="8">G33-F33</f>
        <v>-8361444.5941419546</v>
      </c>
      <c r="I33" s="277">
        <f t="shared" si="6"/>
        <v>-0.8384691131556814</v>
      </c>
      <c r="J33" s="123">
        <f>'Seychelles Loan #2'!$F$19</f>
        <v>5.0752594850245122E-2</v>
      </c>
      <c r="K33" s="123">
        <f>'Seychelles Loan #2'!$G$19</f>
        <v>0.47523928765316281</v>
      </c>
      <c r="L33" s="272">
        <f t="shared" ref="L33:L35" si="9">K33-J33</f>
        <v>0.42448669280291768</v>
      </c>
    </row>
    <row r="34" spans="1:12">
      <c r="A34" s="95" t="s">
        <v>48</v>
      </c>
      <c r="B34" s="116">
        <f>Data!B24/B2</f>
        <v>1201881.3314037626</v>
      </c>
      <c r="C34" s="117">
        <f>'Seychelles Loan #3'!G8/B2</f>
        <v>1536756.8060625759</v>
      </c>
      <c r="D34" s="102">
        <f>'Seychelles Loan #3'!G14/B2</f>
        <v>1298105.8568012274</v>
      </c>
      <c r="E34" s="277">
        <f t="shared" si="7"/>
        <v>-0.15529519590859109</v>
      </c>
      <c r="F34" s="102">
        <f>'Seychelles Loan #3'!G9/B2</f>
        <v>1083410.5981077123</v>
      </c>
      <c r="G34" s="311">
        <f>'Seychelles Loan #3'!G15/B2</f>
        <v>509128.5358084006</v>
      </c>
      <c r="H34" s="311">
        <f t="shared" si="8"/>
        <v>-574282.06229931174</v>
      </c>
      <c r="I34" s="277">
        <f t="shared" si="6"/>
        <v>-0.53006871383975218</v>
      </c>
      <c r="J34" s="124">
        <f>'Seychelles Loan #3'!$F$19</f>
        <v>5.6170107298837001E-2</v>
      </c>
      <c r="K34" s="124">
        <f>'Seychelles Loan #3'!$G$19</f>
        <v>0.37307007973094636</v>
      </c>
      <c r="L34" s="274">
        <f t="shared" si="9"/>
        <v>0.31689997243210938</v>
      </c>
    </row>
    <row r="35" spans="1:12" ht="18">
      <c r="A35" s="104" t="s">
        <v>54</v>
      </c>
      <c r="B35" s="106">
        <f t="shared" ref="B35:G35" si="10">SUM(B32:B34)</f>
        <v>21170043.415340085</v>
      </c>
      <c r="C35" s="102">
        <f t="shared" si="10"/>
        <v>24876205.037832376</v>
      </c>
      <c r="D35" s="102">
        <f t="shared" si="10"/>
        <v>23519895.894735515</v>
      </c>
      <c r="E35" s="278">
        <f t="shared" si="7"/>
        <v>-5.4522349411180303E-2</v>
      </c>
      <c r="F35" s="102">
        <f t="shared" si="10"/>
        <v>14788326.33154113</v>
      </c>
      <c r="G35" s="311">
        <f t="shared" si="10"/>
        <v>3142562.6309507173</v>
      </c>
      <c r="H35" s="312">
        <f t="shared" si="8"/>
        <v>-11645763.700590413</v>
      </c>
      <c r="I35" s="279">
        <f t="shared" si="6"/>
        <v>-0.78749707299546567</v>
      </c>
      <c r="J35" s="124">
        <f>SUMPRODUCT(J32:J34,$B32:$B34)/$B35</f>
        <v>0.11921018424631717</v>
      </c>
      <c r="K35" s="124">
        <f>SUMPRODUCT(K32:K34,$B32:$B34)/$B35</f>
        <v>0.46520105764675679</v>
      </c>
      <c r="L35" s="274">
        <f t="shared" si="9"/>
        <v>0.3459908734004396</v>
      </c>
    </row>
    <row r="36" spans="1:12">
      <c r="E36" s="239"/>
      <c r="I36" s="239"/>
    </row>
    <row r="38" spans="1:12" ht="18">
      <c r="A38" s="335" t="s">
        <v>243</v>
      </c>
      <c r="B38" s="336"/>
      <c r="C38" s="336"/>
      <c r="D38" s="336"/>
      <c r="E38" s="336"/>
      <c r="F38" s="336"/>
      <c r="G38" s="336"/>
      <c r="H38" s="336"/>
      <c r="I38" s="336"/>
      <c r="J38" s="336"/>
      <c r="K38" s="336"/>
      <c r="L38" s="337"/>
    </row>
    <row r="39" spans="1:12">
      <c r="A39" s="96"/>
      <c r="B39" s="338" t="s">
        <v>168</v>
      </c>
      <c r="C39" s="330" t="s">
        <v>107</v>
      </c>
      <c r="D39" s="330"/>
      <c r="E39" s="331"/>
      <c r="F39" s="329" t="s">
        <v>106</v>
      </c>
      <c r="G39" s="330"/>
      <c r="H39" s="330"/>
      <c r="I39" s="331"/>
      <c r="J39" s="329" t="s">
        <v>109</v>
      </c>
      <c r="K39" s="330"/>
      <c r="L39" s="331"/>
    </row>
    <row r="40" spans="1:12">
      <c r="A40" s="97"/>
      <c r="B40" s="339"/>
      <c r="C40" s="169" t="s">
        <v>44</v>
      </c>
      <c r="D40" s="169" t="s">
        <v>45</v>
      </c>
      <c r="E40" s="252" t="s">
        <v>205</v>
      </c>
      <c r="F40" s="169" t="s">
        <v>91</v>
      </c>
      <c r="G40" s="169" t="s">
        <v>45</v>
      </c>
      <c r="H40" s="98"/>
      <c r="I40" s="252" t="s">
        <v>205</v>
      </c>
      <c r="J40" s="169" t="s">
        <v>44</v>
      </c>
      <c r="K40" s="169" t="s">
        <v>45</v>
      </c>
      <c r="L40" s="170" t="s">
        <v>90</v>
      </c>
    </row>
    <row r="41" spans="1:12">
      <c r="A41" s="95" t="s">
        <v>224</v>
      </c>
      <c r="B41" s="67">
        <v>5000000</v>
      </c>
      <c r="C41" s="173">
        <f>'Seychelles Loan UAE'!G5</f>
        <v>7823567.6438516751</v>
      </c>
      <c r="D41" s="171">
        <f>'Seychelles Loan UAE'!G11</f>
        <v>8367933.0034933221</v>
      </c>
      <c r="E41" s="271">
        <f>(D41-C41)/C41</f>
        <v>6.9580194665978076E-2</v>
      </c>
      <c r="F41" s="171">
        <f>'Seychelles Loan UAE'!G6</f>
        <v>3581086.5799228121</v>
      </c>
      <c r="G41" s="171">
        <f>'Seychelles Loan UAE'!G12</f>
        <v>2540222.6120562959</v>
      </c>
      <c r="H41" s="101">
        <f>G41-F41</f>
        <v>-1040863.9678665162</v>
      </c>
      <c r="I41" s="278">
        <f t="shared" ref="I41:I53" si="11">(G41-F41)/F41</f>
        <v>-0.29065590698143673</v>
      </c>
      <c r="J41" s="178">
        <f>'Seychelles Loan UAE'!F16</f>
        <v>-4.6697808490726106E-2</v>
      </c>
      <c r="K41" s="178">
        <f>'Seychelles Loan UAE'!G16</f>
        <v>-6.4141711770328652E-2</v>
      </c>
      <c r="L41" s="276">
        <f>K41-J41</f>
        <v>-1.7443903279602546E-2</v>
      </c>
    </row>
    <row r="42" spans="1:12">
      <c r="A42" s="95" t="s">
        <v>225</v>
      </c>
      <c r="B42" s="67">
        <f>18365000/B3</f>
        <v>5004087.1934604906</v>
      </c>
      <c r="C42" s="172">
        <f>'Seychelles Loan UAE'!G54/B3</f>
        <v>8009334.2579505667</v>
      </c>
      <c r="D42" s="101">
        <f>'Seychelles Loan UAE'!G60/B3</f>
        <v>4410822.7601411762</v>
      </c>
      <c r="E42" s="277">
        <f t="shared" ref="E42:E53" si="12">(D42-C42)/C42</f>
        <v>-0.44928971396558742</v>
      </c>
      <c r="F42" s="101">
        <f>'Seychelles Loan UAE'!G55/B3</f>
        <v>3607148.5366911408</v>
      </c>
      <c r="G42" s="101">
        <f>'Seychelles Loan UAE'!G61/B3</f>
        <v>805098.92495802103</v>
      </c>
      <c r="H42" s="101">
        <f t="shared" ref="H42:H53" si="13">G42-F42</f>
        <v>-2802049.6117331199</v>
      </c>
      <c r="I42" s="277">
        <f t="shared" si="11"/>
        <v>-0.7768046098549235</v>
      </c>
      <c r="J42" s="123">
        <f>'Seychelles Loan UAE'!F65</f>
        <v>-4.7451484001249829E-2</v>
      </c>
      <c r="K42" s="123">
        <f>'Seychelles Loan UAE'!G65</f>
        <v>0.63585258923840993</v>
      </c>
      <c r="L42" s="272">
        <f t="shared" ref="L42:L53" si="14">K42-J42</f>
        <v>0.6833040732396598</v>
      </c>
    </row>
    <row r="43" spans="1:12">
      <c r="A43" s="95" t="s">
        <v>226</v>
      </c>
      <c r="B43" s="67">
        <f>18365000/B3</f>
        <v>5004087.1934604906</v>
      </c>
      <c r="C43" s="172">
        <f>'Seychelles Loan UAE'!G113/B3</f>
        <v>7305505.0063232873</v>
      </c>
      <c r="D43" s="101">
        <f>'Seychelles Loan UAE'!G119/B3</f>
        <v>5842518.0153230047</v>
      </c>
      <c r="E43" s="277">
        <f t="shared" si="12"/>
        <v>-0.20025816007709155</v>
      </c>
      <c r="F43" s="101">
        <f>'Seychelles Loan UAE'!G114/B3</f>
        <v>3151061.5950119216</v>
      </c>
      <c r="G43" s="101">
        <f>'Seychelles Loan UAE'!G120/B3</f>
        <v>1208453.114861222</v>
      </c>
      <c r="H43" s="101">
        <f t="shared" si="13"/>
        <v>-1942608.4801506996</v>
      </c>
      <c r="I43" s="277">
        <f t="shared" si="11"/>
        <v>-0.61649333774554482</v>
      </c>
      <c r="J43" s="123">
        <f>'Seychelles Loan UAE'!F124</f>
        <v>-4.9249221232713074E-2</v>
      </c>
      <c r="K43" s="123">
        <f>'Seychelles Loan UAE'!G124</f>
        <v>0.46831792669418348</v>
      </c>
      <c r="L43" s="272">
        <f t="shared" si="14"/>
        <v>0.51756714792689651</v>
      </c>
    </row>
    <row r="44" spans="1:12">
      <c r="A44" s="95" t="s">
        <v>227</v>
      </c>
      <c r="B44" s="67">
        <f>21423258/B4</f>
        <v>24071076.404494382</v>
      </c>
      <c r="C44" s="172">
        <f>'Seychelles Loan FRA'!G5/B4</f>
        <v>31227275.187831763</v>
      </c>
      <c r="D44" s="101">
        <f>'Seychelles Loan FRA'!G11/B4</f>
        <v>25105498.632644322</v>
      </c>
      <c r="E44" s="277">
        <f t="shared" si="12"/>
        <v>-0.19603940844550199</v>
      </c>
      <c r="F44" s="101">
        <f>'Seychelles Loan FRA'!G6/B4</f>
        <v>20817930.32195197</v>
      </c>
      <c r="G44" s="101">
        <f>'Seychelles Loan FRA'!G12/B4</f>
        <v>13896356.807697501</v>
      </c>
      <c r="H44" s="101">
        <f t="shared" si="13"/>
        <v>-6921573.5142544694</v>
      </c>
      <c r="I44" s="277">
        <f t="shared" si="11"/>
        <v>-0.33248134695483389</v>
      </c>
      <c r="J44" s="123">
        <f>'Seychelles Loan FRA'!F16</f>
        <v>0.16190219655339114</v>
      </c>
      <c r="K44" s="123">
        <f>'Seychelles Loan FRA'!G16</f>
        <v>0.53766484009253868</v>
      </c>
      <c r="L44" s="272">
        <f t="shared" si="14"/>
        <v>0.37576264353914757</v>
      </c>
    </row>
    <row r="45" spans="1:12">
      <c r="A45" s="95" t="s">
        <v>228</v>
      </c>
      <c r="B45" s="67">
        <f>3213669/B4</f>
        <v>3610864.0449438202</v>
      </c>
      <c r="C45" s="172">
        <f>'Seychelles Loan FRA'!G63/B4</f>
        <v>4684310.3585613538</v>
      </c>
      <c r="D45" s="101">
        <f>'Seychelles Loan FRA'!G69/B4</f>
        <v>3766000.3946768269</v>
      </c>
      <c r="E45" s="277">
        <f t="shared" si="12"/>
        <v>-0.19603952206244471</v>
      </c>
      <c r="F45" s="101">
        <f>'Seychelles Loan FRA'!G64/B4</f>
        <v>3122835.6001079329</v>
      </c>
      <c r="G45" s="101">
        <f>'Seychelles Loan FRA'!G70/B4</f>
        <v>2084550.7252135077</v>
      </c>
      <c r="H45" s="101">
        <f t="shared" si="13"/>
        <v>-1038284.8748944253</v>
      </c>
      <c r="I45" s="277">
        <f t="shared" si="11"/>
        <v>-0.33248143925941526</v>
      </c>
      <c r="J45" s="123">
        <f>'Seychelles Loan FRA'!F74</f>
        <v>0.16190219655339114</v>
      </c>
      <c r="K45" s="123">
        <f>'Seychelles Loan FRA'!G74</f>
        <v>0.53767426870050017</v>
      </c>
      <c r="L45" s="272">
        <f t="shared" si="14"/>
        <v>0.37577207214710906</v>
      </c>
    </row>
    <row r="46" spans="1:12">
      <c r="A46" s="95" t="s">
        <v>229</v>
      </c>
      <c r="B46" s="67">
        <f>3422477/B4</f>
        <v>3845479.7752808989</v>
      </c>
      <c r="C46" s="172">
        <f>'Seychelles Loan DEU'!G5/B4</f>
        <v>4240175.7291026069</v>
      </c>
      <c r="D46" s="101">
        <f>'Seychelles Loan DEU'!G11/B4</f>
        <v>7162127.0589769417</v>
      </c>
      <c r="E46" s="269">
        <f t="shared" si="12"/>
        <v>0.68911090401735264</v>
      </c>
      <c r="F46" s="101">
        <f>'Seychelles Loan DEU'!G6/B4</f>
        <v>3270908.3817365705</v>
      </c>
      <c r="G46" s="101">
        <f>'Seychelles Loan DEU'!G12/B4</f>
        <v>1356362.7003158429</v>
      </c>
      <c r="H46" s="101">
        <f t="shared" si="13"/>
        <v>-1914545.6814207276</v>
      </c>
      <c r="I46" s="277">
        <f t="shared" si="11"/>
        <v>-0.58532537692305187</v>
      </c>
      <c r="J46" s="123">
        <f>'Seychelles Loan DEU'!F16</f>
        <v>0.13914847792394108</v>
      </c>
      <c r="K46" s="123">
        <f>'Seychelles Loan DEU'!G16</f>
        <v>0.47369815781348606</v>
      </c>
      <c r="L46" s="272">
        <f t="shared" si="14"/>
        <v>0.33454967988954498</v>
      </c>
    </row>
    <row r="47" spans="1:12">
      <c r="A47" s="95" t="s">
        <v>230</v>
      </c>
      <c r="B47" s="67">
        <f>1076543236/B5</f>
        <v>9875637.4277589209</v>
      </c>
      <c r="C47" s="172">
        <f>'Seychelles Loan JPN'!G5/B5</f>
        <v>23462885.741773386</v>
      </c>
      <c r="D47" s="101">
        <f>'Seychelles Loan JPN'!G11/B5</f>
        <v>5552187.4553182712</v>
      </c>
      <c r="E47" s="277">
        <f t="shared" si="12"/>
        <v>-0.76336297604547665</v>
      </c>
      <c r="F47" s="101">
        <f>'Seychelles Loan JPN'!G6/B5</f>
        <v>10559006.920835005</v>
      </c>
      <c r="G47" s="101">
        <f>'Seychelles Loan JPN'!G12/B5</f>
        <v>790939.13450195675</v>
      </c>
      <c r="H47" s="101">
        <f t="shared" si="13"/>
        <v>-9768067.7863330487</v>
      </c>
      <c r="I47" s="277">
        <f t="shared" si="11"/>
        <v>-0.9250934164138791</v>
      </c>
      <c r="J47" s="123">
        <f>'Seychelles Loan JPN'!F16</f>
        <v>-0.26858306677939708</v>
      </c>
      <c r="K47" s="123">
        <f>'Seychelles Loan JPN'!G16</f>
        <v>1.1529068929794579</v>
      </c>
      <c r="L47" s="272">
        <f t="shared" si="14"/>
        <v>1.4214899597588551</v>
      </c>
    </row>
    <row r="48" spans="1:12">
      <c r="A48" s="95" t="s">
        <v>231</v>
      </c>
      <c r="B48" s="67">
        <f>2289598/B6</f>
        <v>7631993.333333334</v>
      </c>
      <c r="C48" s="172">
        <f>'Seychelles Loan KWT'!G5/B6</f>
        <v>7631994.0333333332</v>
      </c>
      <c r="D48" s="101">
        <f>'Seychelles Loan KWT'!G11/B6</f>
        <v>7964820</v>
      </c>
      <c r="E48" s="269">
        <f t="shared" si="12"/>
        <v>4.3609306455563678E-2</v>
      </c>
      <c r="F48" s="101">
        <f>'Seychelles Loan KWT'!G6/B6</f>
        <v>6327302.8758702753</v>
      </c>
      <c r="G48" s="101">
        <f>'Seychelles Loan KWT'!G12/B6</f>
        <v>4719988.8764989646</v>
      </c>
      <c r="H48" s="101">
        <f t="shared" si="13"/>
        <v>-1607313.9993713107</v>
      </c>
      <c r="I48" s="277">
        <f t="shared" si="11"/>
        <v>-0.25402830098444373</v>
      </c>
      <c r="J48" s="123">
        <f>'Seychelles Loan KWT'!F16</f>
        <v>0.17566454747992089</v>
      </c>
      <c r="K48" s="123">
        <f>'Seychelles Loan KWT'!G16</f>
        <v>0.3730681970020257</v>
      </c>
      <c r="L48" s="272">
        <f t="shared" si="14"/>
        <v>0.19740364952210482</v>
      </c>
    </row>
    <row r="49" spans="1:12">
      <c r="A49" s="95" t="s">
        <v>232</v>
      </c>
      <c r="B49" s="67">
        <f>164808/B7</f>
        <v>211292.30769230769</v>
      </c>
      <c r="C49" s="172">
        <f>'Seychelles Loan GBR'!G5/B7</f>
        <v>492292.02784651751</v>
      </c>
      <c r="D49" s="101">
        <f>'Seychelles Loan GBR'!G11/B7</f>
        <v>195476.48357127435</v>
      </c>
      <c r="E49" s="277">
        <f t="shared" si="12"/>
        <v>-0.60292575846420515</v>
      </c>
      <c r="F49" s="101">
        <f>'Seychelles Loan GBR'!G6/B7</f>
        <v>98554.702816055869</v>
      </c>
      <c r="G49" s="101">
        <f>'Seychelles Loan GBR'!G12/B7</f>
        <v>5030.2538515325414</v>
      </c>
      <c r="H49" s="101">
        <f t="shared" si="13"/>
        <v>-93524.448964523326</v>
      </c>
      <c r="I49" s="277">
        <f t="shared" si="11"/>
        <v>-0.94895977860213232</v>
      </c>
      <c r="J49" s="123">
        <f>'Seychelles Loan GBR'!F16</f>
        <v>-0.39679654452595364</v>
      </c>
      <c r="K49" s="123">
        <f>'Seychelles Loan GBR'!G16</f>
        <v>0.6242699434308282</v>
      </c>
      <c r="L49" s="272">
        <f t="shared" si="14"/>
        <v>1.0210664879567819</v>
      </c>
    </row>
    <row r="50" spans="1:12">
      <c r="A50" s="95" t="s">
        <v>233</v>
      </c>
      <c r="B50" s="67">
        <f>2806716/B7</f>
        <v>3598353.846153846</v>
      </c>
      <c r="C50" s="172">
        <f>'Seychelles Loan GBR'!G55/B7</f>
        <v>7397572.2374098562</v>
      </c>
      <c r="D50" s="101">
        <f>'Seychelles Loan GBR'!G61/B7</f>
        <v>3352333.8719094587</v>
      </c>
      <c r="E50" s="277">
        <f t="shared" si="12"/>
        <v>-0.5468332360505308</v>
      </c>
      <c r="F50" s="101">
        <f>'Seychelles Loan GBR'!G56/B7</f>
        <v>2358088.3787508933</v>
      </c>
      <c r="G50" s="101">
        <f>'Seychelles Loan GBR'!G62/B7</f>
        <v>124533.83388473166</v>
      </c>
      <c r="H50" s="101">
        <f t="shared" si="13"/>
        <v>-2233554.5448661614</v>
      </c>
      <c r="I50" s="277">
        <f t="shared" si="11"/>
        <v>-0.94718864864992935</v>
      </c>
      <c r="J50" s="123">
        <f>'Seychelles Loan GBR'!F66</f>
        <v>-0.30715334816816492</v>
      </c>
      <c r="K50" s="123">
        <f>'Seychelles Loan GBR'!G66</f>
        <v>0.60964205937876104</v>
      </c>
      <c r="L50" s="272">
        <f t="shared" si="14"/>
        <v>0.91679540754692601</v>
      </c>
    </row>
    <row r="51" spans="1:12">
      <c r="A51" s="95" t="s">
        <v>234</v>
      </c>
      <c r="B51" s="67">
        <f>6085687/B7</f>
        <v>7802162.82051282</v>
      </c>
      <c r="C51" s="172">
        <f>'Seychelles Loan GBR'!G106/B7</f>
        <v>20741748.982178859</v>
      </c>
      <c r="D51" s="101">
        <f>'Seychelles Loan GBR'!G112/B7</f>
        <v>6528367.8881210592</v>
      </c>
      <c r="E51" s="277">
        <f t="shared" si="12"/>
        <v>-0.68525470567934366</v>
      </c>
      <c r="F51" s="101">
        <f>'Seychelles Loan GBR'!G107/B7</f>
        <v>4071191.9466834562</v>
      </c>
      <c r="G51" s="101">
        <f>'Seychelles Loan GBR'!G113/B7</f>
        <v>34227.322928098023</v>
      </c>
      <c r="H51" s="101">
        <f t="shared" si="13"/>
        <v>-4036964.6237553582</v>
      </c>
      <c r="I51" s="277">
        <f t="shared" si="11"/>
        <v>-0.9915928004927449</v>
      </c>
      <c r="J51" s="123">
        <f>'Seychelles Loan GBR'!F117</f>
        <v>-0.10864334466889378</v>
      </c>
      <c r="K51" s="123">
        <f>'Seychelles Loan GBR'!G117</f>
        <v>0.71274139225887323</v>
      </c>
      <c r="L51" s="272">
        <f t="shared" si="14"/>
        <v>0.82138473692776703</v>
      </c>
    </row>
    <row r="52" spans="1:12">
      <c r="A52" s="95" t="s">
        <v>235</v>
      </c>
      <c r="B52" s="67">
        <f>2146031/B7</f>
        <v>2751321.794871795</v>
      </c>
      <c r="C52" s="117">
        <f>'Seychelles Loan GBR'!G156/B7</f>
        <v>6774343.1897036145</v>
      </c>
      <c r="D52" s="102">
        <f>'Seychelles Loan GBR'!G162/B7</f>
        <v>2572892.8556251726</v>
      </c>
      <c r="E52" s="280">
        <f t="shared" si="12"/>
        <v>-0.62020039676529304</v>
      </c>
      <c r="F52" s="102">
        <f>'Seychelles Loan GBR'!G162/B7</f>
        <v>2572892.8556251726</v>
      </c>
      <c r="G52" s="102">
        <f>'Seychelles Loan GBR'!G163/B7</f>
        <v>22008.120673435376</v>
      </c>
      <c r="H52" s="102">
        <f t="shared" si="13"/>
        <v>-2550884.7349517373</v>
      </c>
      <c r="I52" s="277">
        <f t="shared" si="11"/>
        <v>-0.9914461573379092</v>
      </c>
      <c r="J52" s="124">
        <f>'Seychelles Loan GBR'!F167</f>
        <v>-0.11922744744472927</v>
      </c>
      <c r="K52" s="124">
        <f>'Seychelles Loan GBR'!G167</f>
        <v>0.6412589828341686</v>
      </c>
      <c r="L52" s="274">
        <f t="shared" si="14"/>
        <v>0.76048643027889784</v>
      </c>
    </row>
    <row r="53" spans="1:12" ht="18">
      <c r="A53" s="104" t="s">
        <v>54</v>
      </c>
      <c r="B53" s="166">
        <f>SUM(B41:B52)</f>
        <v>78406356.141963094</v>
      </c>
      <c r="C53" s="176">
        <f t="shared" ref="C53:G53" si="15">SUM(C41:C52)</f>
        <v>129791004.39586681</v>
      </c>
      <c r="D53" s="176">
        <f t="shared" si="15"/>
        <v>80820978.419800818</v>
      </c>
      <c r="E53" s="279">
        <f t="shared" si="12"/>
        <v>-0.377299075571569</v>
      </c>
      <c r="F53" s="102">
        <f t="shared" si="15"/>
        <v>63538008.696003199</v>
      </c>
      <c r="G53" s="102">
        <f t="shared" si="15"/>
        <v>27587772.427441109</v>
      </c>
      <c r="H53" s="112">
        <f t="shared" si="13"/>
        <v>-35950236.268562093</v>
      </c>
      <c r="I53" s="279">
        <f t="shared" si="11"/>
        <v>-0.56580678252863648</v>
      </c>
      <c r="J53" s="124">
        <f>SUMPRODUCT(J41:J52,$B41:$B52)/$B53</f>
        <v>7.9450300818819271E-3</v>
      </c>
      <c r="K53" s="124">
        <f>SUMPRODUCT(K41:K52,$B41:$B52)/$B53</f>
        <v>0.58405575768602935</v>
      </c>
      <c r="L53" s="274">
        <f t="shared" si="14"/>
        <v>0.57611072760414739</v>
      </c>
    </row>
    <row r="56" spans="1:12">
      <c r="A56" s="71"/>
    </row>
  </sheetData>
  <mergeCells count="17">
    <mergeCell ref="A38:L38"/>
    <mergeCell ref="B39:B40"/>
    <mergeCell ref="C39:E39"/>
    <mergeCell ref="F39:I39"/>
    <mergeCell ref="J39:L39"/>
    <mergeCell ref="A9:L9"/>
    <mergeCell ref="C10:E10"/>
    <mergeCell ref="F10:I10"/>
    <mergeCell ref="J10:L10"/>
    <mergeCell ref="A23:K23"/>
    <mergeCell ref="C24:E24"/>
    <mergeCell ref="F24:I24"/>
    <mergeCell ref="J24:L24"/>
    <mergeCell ref="A29:L29"/>
    <mergeCell ref="C30:E30"/>
    <mergeCell ref="F30:I30"/>
    <mergeCell ref="J30:L30"/>
  </mergeCells>
  <pageMargins left="0.7" right="0.7" top="0.75" bottom="0.75" header="0.3" footer="0.3"/>
  <pageSetup orientation="portrait"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34E4-D478-8745-8819-6D88F1F33E23}">
  <sheetPr>
    <tabColor rgb="FF00B050"/>
  </sheetPr>
  <dimension ref="A1:BG101"/>
  <sheetViews>
    <sheetView workbookViewId="0">
      <pane xSplit="6" ySplit="1" topLeftCell="G2" activePane="bottomRight" state="frozen"/>
      <selection activeCell="A26" sqref="A26:A28"/>
      <selection pane="topRight" activeCell="A26" sqref="A26:A28"/>
      <selection pane="bottomLeft" activeCell="A26" sqref="A26:A28"/>
      <selection pane="bottomRight" activeCell="B8" sqref="B8"/>
    </sheetView>
  </sheetViews>
  <sheetFormatPr defaultColWidth="11.19921875" defaultRowHeight="15.6"/>
  <cols>
    <col min="1" max="1" width="28.69921875" customWidth="1"/>
    <col min="2" max="2" width="20.69921875" customWidth="1"/>
    <col min="3" max="3" width="7.796875" customWidth="1"/>
    <col min="4" max="4" width="6.5" customWidth="1"/>
    <col min="5" max="5" width="13.796875" customWidth="1"/>
    <col min="6" max="6" width="14.296875" customWidth="1"/>
    <col min="7" max="7" width="15.5" customWidth="1"/>
    <col min="8" max="8" width="16.19921875" customWidth="1"/>
    <col min="9" max="9" width="15.296875" customWidth="1"/>
    <col min="10" max="13" width="14" bestFit="1" customWidth="1"/>
    <col min="14" max="14" width="16.5" customWidth="1"/>
    <col min="15" max="22" width="14" bestFit="1" customWidth="1"/>
    <col min="23" max="38" width="14.19921875" bestFit="1" customWidth="1"/>
    <col min="39" max="39" width="19" customWidth="1"/>
    <col min="40" max="68" width="13" bestFit="1" customWidth="1"/>
    <col min="69" max="69" width="17" customWidth="1"/>
  </cols>
  <sheetData>
    <row r="1" spans="1:32" ht="21">
      <c r="A1" s="1" t="s">
        <v>70</v>
      </c>
      <c r="D1" s="1"/>
      <c r="E1" s="2"/>
      <c r="F1" s="27"/>
    </row>
    <row r="4" spans="1:32">
      <c r="A4" s="55" t="s">
        <v>71</v>
      </c>
      <c r="B4" s="76">
        <f>B97+B85+B73+B61+B50+B39+B28+B17</f>
        <v>1726498431.05</v>
      </c>
    </row>
    <row r="5" spans="1:32">
      <c r="A5" s="4" t="s">
        <v>72</v>
      </c>
      <c r="B5" s="60">
        <f>B98+B86+B74+B62+B51+B40+B29+B18</f>
        <v>1586456608.7286203</v>
      </c>
    </row>
    <row r="6" spans="1:32">
      <c r="A6" s="4" t="s">
        <v>73</v>
      </c>
      <c r="B6" s="77">
        <f>B4-B5</f>
        <v>140041822.32137966</v>
      </c>
    </row>
    <row r="7" spans="1:32">
      <c r="A7" s="4" t="s">
        <v>74</v>
      </c>
      <c r="B7" s="60">
        <f>Data!L14</f>
        <v>1612330000</v>
      </c>
    </row>
    <row r="8" spans="1:32" ht="19.8">
      <c r="A8" s="13" t="s">
        <v>75</v>
      </c>
      <c r="B8" s="78">
        <f>(B7-B5)/B7</f>
        <v>1.6047205765184366E-2</v>
      </c>
    </row>
    <row r="9" spans="1:32" ht="62.4">
      <c r="B9" s="47"/>
      <c r="O9" s="66" t="s">
        <v>85</v>
      </c>
    </row>
    <row r="11" spans="1:32">
      <c r="A11" s="342" t="s">
        <v>0</v>
      </c>
      <c r="B11" s="343"/>
    </row>
    <row r="12" spans="1:32">
      <c r="A12" s="56" t="s">
        <v>76</v>
      </c>
      <c r="B12" s="10">
        <f>Data!D5</f>
        <v>2010</v>
      </c>
      <c r="D12" s="2" t="s">
        <v>23</v>
      </c>
      <c r="E12" s="2"/>
      <c r="F12" s="24" t="s">
        <v>83</v>
      </c>
      <c r="G12" s="24">
        <v>42004</v>
      </c>
      <c r="H12" s="24">
        <v>42185</v>
      </c>
      <c r="I12" s="24">
        <v>42369</v>
      </c>
      <c r="J12" s="24">
        <v>42551</v>
      </c>
      <c r="K12" s="24">
        <v>42735</v>
      </c>
      <c r="L12" s="24">
        <v>42916</v>
      </c>
      <c r="M12" s="24">
        <v>43100</v>
      </c>
      <c r="N12" s="24">
        <v>43281</v>
      </c>
      <c r="O12" s="79">
        <v>43465</v>
      </c>
      <c r="P12" s="24">
        <v>43646</v>
      </c>
      <c r="Q12" s="24">
        <v>43830</v>
      </c>
      <c r="R12" s="24">
        <v>44012</v>
      </c>
      <c r="S12" s="24">
        <v>44196</v>
      </c>
      <c r="T12" s="24">
        <v>44377</v>
      </c>
      <c r="U12" s="24">
        <v>44561</v>
      </c>
      <c r="V12" s="24">
        <v>44742</v>
      </c>
      <c r="W12" s="24">
        <v>44926</v>
      </c>
      <c r="X12" s="24">
        <v>45107</v>
      </c>
      <c r="Y12" s="24">
        <v>45291</v>
      </c>
      <c r="Z12" s="24">
        <v>45473</v>
      </c>
      <c r="AA12" s="24">
        <v>45657</v>
      </c>
      <c r="AB12" s="24">
        <v>45838</v>
      </c>
      <c r="AC12" s="24">
        <v>46022</v>
      </c>
      <c r="AD12" s="24">
        <v>46203</v>
      </c>
      <c r="AE12" s="24">
        <v>46387</v>
      </c>
      <c r="AF12" s="2"/>
    </row>
    <row r="13" spans="1:32">
      <c r="A13" s="56" t="s">
        <v>5</v>
      </c>
      <c r="B13" s="57">
        <f>Data!F5</f>
        <v>2.5000000000000001E-3</v>
      </c>
      <c r="D13" s="2" t="s">
        <v>24</v>
      </c>
      <c r="E13" s="2"/>
      <c r="F13" t="s">
        <v>25</v>
      </c>
      <c r="G13">
        <v>1</v>
      </c>
      <c r="H13">
        <v>2</v>
      </c>
      <c r="I13">
        <v>3</v>
      </c>
      <c r="J13">
        <v>4</v>
      </c>
      <c r="K13">
        <v>5</v>
      </c>
      <c r="L13">
        <v>6</v>
      </c>
      <c r="M13">
        <v>7</v>
      </c>
      <c r="N13">
        <v>8</v>
      </c>
      <c r="O13" s="80">
        <v>9</v>
      </c>
      <c r="P13">
        <v>10</v>
      </c>
      <c r="Q13">
        <v>11</v>
      </c>
      <c r="R13">
        <v>12</v>
      </c>
      <c r="S13">
        <v>13</v>
      </c>
      <c r="T13">
        <v>14</v>
      </c>
      <c r="U13">
        <v>15</v>
      </c>
      <c r="V13">
        <v>16</v>
      </c>
      <c r="W13">
        <v>17</v>
      </c>
      <c r="X13">
        <v>18</v>
      </c>
      <c r="Y13">
        <v>19</v>
      </c>
      <c r="Z13">
        <v>20</v>
      </c>
      <c r="AA13">
        <v>21</v>
      </c>
      <c r="AB13">
        <v>22</v>
      </c>
      <c r="AC13">
        <v>23</v>
      </c>
      <c r="AD13">
        <v>24</v>
      </c>
      <c r="AE13">
        <v>25</v>
      </c>
    </row>
    <row r="14" spans="1:32">
      <c r="A14" s="56" t="s">
        <v>77</v>
      </c>
      <c r="B14" s="10">
        <f>Data!E5</f>
        <v>16.5</v>
      </c>
      <c r="D14" s="2" t="s">
        <v>28</v>
      </c>
      <c r="E14" s="2"/>
      <c r="F14" s="81"/>
      <c r="G14" s="27">
        <f>PMT($B$13,$B$16,$B$17)</f>
        <v>-3470290.5663360753</v>
      </c>
      <c r="H14" s="27">
        <f t="shared" ref="H14:AE14" si="0">PMT($B$13,$B$16,$B$17)</f>
        <v>-3470290.5663360753</v>
      </c>
      <c r="I14" s="27">
        <f t="shared" si="0"/>
        <v>-3470290.5663360753</v>
      </c>
      <c r="J14" s="27">
        <f t="shared" si="0"/>
        <v>-3470290.5663360753</v>
      </c>
      <c r="K14" s="27">
        <f t="shared" si="0"/>
        <v>-3470290.5663360753</v>
      </c>
      <c r="L14" s="27">
        <f t="shared" si="0"/>
        <v>-3470290.5663360753</v>
      </c>
      <c r="M14" s="27">
        <f t="shared" si="0"/>
        <v>-3470290.5663360753</v>
      </c>
      <c r="N14" s="27">
        <f t="shared" si="0"/>
        <v>-3470290.5663360753</v>
      </c>
      <c r="O14" s="82">
        <f t="shared" si="0"/>
        <v>-3470290.5663360753</v>
      </c>
      <c r="P14" s="27">
        <f t="shared" si="0"/>
        <v>-3470290.5663360753</v>
      </c>
      <c r="Q14" s="27">
        <f t="shared" si="0"/>
        <v>-3470290.5663360753</v>
      </c>
      <c r="R14" s="27">
        <f t="shared" si="0"/>
        <v>-3470290.5663360753</v>
      </c>
      <c r="S14" s="27">
        <f t="shared" si="0"/>
        <v>-3470290.5663360753</v>
      </c>
      <c r="T14" s="27">
        <f t="shared" si="0"/>
        <v>-3470290.5663360753</v>
      </c>
      <c r="U14" s="27">
        <f t="shared" si="0"/>
        <v>-3470290.5663360753</v>
      </c>
      <c r="V14" s="27">
        <f t="shared" si="0"/>
        <v>-3470290.5663360753</v>
      </c>
      <c r="W14" s="27">
        <f t="shared" si="0"/>
        <v>-3470290.5663360753</v>
      </c>
      <c r="X14" s="27">
        <f t="shared" si="0"/>
        <v>-3470290.5663360753</v>
      </c>
      <c r="Y14" s="27">
        <f t="shared" si="0"/>
        <v>-3470290.5663360753</v>
      </c>
      <c r="Z14" s="27">
        <f t="shared" si="0"/>
        <v>-3470290.5663360753</v>
      </c>
      <c r="AA14" s="27">
        <f t="shared" si="0"/>
        <v>-3470290.5663360753</v>
      </c>
      <c r="AB14" s="27">
        <f t="shared" si="0"/>
        <v>-3470290.5663360753</v>
      </c>
      <c r="AC14" s="27">
        <f t="shared" si="0"/>
        <v>-3470290.5663360753</v>
      </c>
      <c r="AD14" s="27">
        <f t="shared" si="0"/>
        <v>-3470290.5663360753</v>
      </c>
      <c r="AE14" s="27">
        <f t="shared" si="0"/>
        <v>-3470290.5663360753</v>
      </c>
    </row>
    <row r="15" spans="1:32">
      <c r="A15" s="56" t="s">
        <v>25</v>
      </c>
      <c r="B15" s="10">
        <f>Data!G5</f>
        <v>4</v>
      </c>
      <c r="E15" t="s">
        <v>29</v>
      </c>
      <c r="F15" s="81"/>
      <c r="G15" s="27">
        <f>PPMT($B$13,G13,$B$16,$B$17)</f>
        <v>-3260290.5663360753</v>
      </c>
      <c r="H15" s="27">
        <f t="shared" ref="H15:AE15" si="1">PPMT($B$13,H13,$B$16,$B$17)</f>
        <v>-3268441.2927519158</v>
      </c>
      <c r="I15" s="27">
        <f t="shared" si="1"/>
        <v>-3276612.3959837952</v>
      </c>
      <c r="J15" s="27">
        <f t="shared" si="1"/>
        <v>-3284803.926973755</v>
      </c>
      <c r="K15" s="27">
        <f t="shared" si="1"/>
        <v>-3293015.936791189</v>
      </c>
      <c r="L15" s="27">
        <f t="shared" si="1"/>
        <v>-3301248.4766331669</v>
      </c>
      <c r="M15" s="27">
        <f t="shared" si="1"/>
        <v>-3309501.5978247495</v>
      </c>
      <c r="N15" s="27">
        <f t="shared" si="1"/>
        <v>-3317775.3518193122</v>
      </c>
      <c r="O15" s="82">
        <f t="shared" si="1"/>
        <v>-3326069.7901988602</v>
      </c>
      <c r="P15" s="27">
        <f t="shared" si="1"/>
        <v>-3334384.9646743573</v>
      </c>
      <c r="Q15" s="27">
        <f t="shared" si="1"/>
        <v>-3342720.9270860427</v>
      </c>
      <c r="R15" s="27">
        <f t="shared" si="1"/>
        <v>-3351077.729403758</v>
      </c>
      <c r="S15" s="27">
        <f t="shared" si="1"/>
        <v>-3359455.4237272674</v>
      </c>
      <c r="T15" s="27">
        <f t="shared" si="1"/>
        <v>-3367854.0622865856</v>
      </c>
      <c r="U15" s="27">
        <f t="shared" si="1"/>
        <v>-3376273.697442302</v>
      </c>
      <c r="V15" s="27">
        <f t="shared" si="1"/>
        <v>-3384714.381685908</v>
      </c>
      <c r="W15" s="27">
        <f t="shared" si="1"/>
        <v>-3393176.1676401231</v>
      </c>
      <c r="X15" s="27">
        <f t="shared" si="1"/>
        <v>-3401659.1080592228</v>
      </c>
      <c r="Y15" s="27">
        <f t="shared" si="1"/>
        <v>-3410163.2558293715</v>
      </c>
      <c r="Z15" s="27">
        <f t="shared" si="1"/>
        <v>-3418688.6639689445</v>
      </c>
      <c r="AA15" s="27">
        <f t="shared" si="1"/>
        <v>-3427235.3856288674</v>
      </c>
      <c r="AB15" s="27">
        <f t="shared" si="1"/>
        <v>-3435803.4740929389</v>
      </c>
      <c r="AC15" s="27">
        <f t="shared" si="1"/>
        <v>-3444392.9827781715</v>
      </c>
      <c r="AD15" s="27">
        <f t="shared" si="1"/>
        <v>-3453003.9652351164</v>
      </c>
      <c r="AE15" s="27">
        <f t="shared" si="1"/>
        <v>-3461636.4751482047</v>
      </c>
      <c r="AF15" s="27"/>
    </row>
    <row r="16" spans="1:32">
      <c r="A16" s="56" t="s">
        <v>12</v>
      </c>
      <c r="B16" s="10">
        <f>(B14-B15)*2</f>
        <v>25</v>
      </c>
      <c r="E16" t="s">
        <v>30</v>
      </c>
      <c r="F16" s="81"/>
      <c r="G16" s="27">
        <f>IPMT($B$13,G13,$B$16,$B$17)</f>
        <v>-210000</v>
      </c>
      <c r="H16" s="27">
        <f t="shared" ref="H16:AE16" si="2">IPMT($B$13,H13,$B$16,$B$17)</f>
        <v>-201849.27358415985</v>
      </c>
      <c r="I16" s="27">
        <f t="shared" si="2"/>
        <v>-193678.17035228008</v>
      </c>
      <c r="J16" s="27">
        <f t="shared" si="2"/>
        <v>-185486.63936232054</v>
      </c>
      <c r="K16" s="27">
        <f t="shared" si="2"/>
        <v>-177274.62954488618</v>
      </c>
      <c r="L16" s="27">
        <f t="shared" si="2"/>
        <v>-169042.08970290821</v>
      </c>
      <c r="M16" s="27">
        <f t="shared" si="2"/>
        <v>-160788.96851132528</v>
      </c>
      <c r="N16" s="27">
        <f t="shared" si="2"/>
        <v>-152515.2145167634</v>
      </c>
      <c r="O16" s="82">
        <f t="shared" si="2"/>
        <v>-144220.77613721511</v>
      </c>
      <c r="P16" s="27">
        <f t="shared" si="2"/>
        <v>-135905.60166171796</v>
      </c>
      <c r="Q16" s="27">
        <f t="shared" si="2"/>
        <v>-127569.63925003207</v>
      </c>
      <c r="R16" s="27">
        <f t="shared" si="2"/>
        <v>-119212.83693231696</v>
      </c>
      <c r="S16" s="27">
        <f t="shared" si="2"/>
        <v>-110835.14260880755</v>
      </c>
      <c r="T16" s="27">
        <f t="shared" si="2"/>
        <v>-102436.50404948941</v>
      </c>
      <c r="U16" s="27">
        <f t="shared" si="2"/>
        <v>-94016.868893772931</v>
      </c>
      <c r="V16" s="27">
        <f t="shared" si="2"/>
        <v>-85576.184650167197</v>
      </c>
      <c r="W16" s="27">
        <f t="shared" si="2"/>
        <v>-77114.39869595239</v>
      </c>
      <c r="X16" s="27">
        <f t="shared" si="2"/>
        <v>-68631.458276852092</v>
      </c>
      <c r="Y16" s="27">
        <f t="shared" si="2"/>
        <v>-60127.310506704038</v>
      </c>
      <c r="Z16" s="27">
        <f t="shared" si="2"/>
        <v>-51601.902367130613</v>
      </c>
      <c r="AA16" s="27">
        <f t="shared" si="2"/>
        <v>-43055.180707208252</v>
      </c>
      <c r="AB16" s="27">
        <f t="shared" si="2"/>
        <v>-34487.092243136081</v>
      </c>
      <c r="AC16" s="27">
        <f t="shared" si="2"/>
        <v>-25897.583557903734</v>
      </c>
      <c r="AD16" s="27">
        <f t="shared" si="2"/>
        <v>-17286.601100958302</v>
      </c>
      <c r="AE16" s="27">
        <f t="shared" si="2"/>
        <v>-8654.0911878705137</v>
      </c>
      <c r="AF16" s="27"/>
    </row>
    <row r="17" spans="1:39">
      <c r="A17" s="56" t="s">
        <v>79</v>
      </c>
      <c r="B17" s="77">
        <f>Data!B5</f>
        <v>84000000</v>
      </c>
      <c r="D17" s="2" t="s">
        <v>31</v>
      </c>
      <c r="F17" s="27">
        <f>B17</f>
        <v>84000000</v>
      </c>
      <c r="G17" s="27">
        <f>F17+G15</f>
        <v>80739709.43366392</v>
      </c>
      <c r="H17" s="27">
        <f t="shared" ref="H17:AE17" si="3">G17+H15</f>
        <v>77471268.140911996</v>
      </c>
      <c r="I17" s="27">
        <f t="shared" si="3"/>
        <v>74194655.744928196</v>
      </c>
      <c r="J17" s="27">
        <f t="shared" si="3"/>
        <v>70909851.817954436</v>
      </c>
      <c r="K17" s="27">
        <f t="shared" si="3"/>
        <v>67616835.881163239</v>
      </c>
      <c r="L17" s="27">
        <f t="shared" si="3"/>
        <v>64315587.404530071</v>
      </c>
      <c r="M17" s="27">
        <f t="shared" si="3"/>
        <v>61006085.806705318</v>
      </c>
      <c r="N17" s="27">
        <f t="shared" si="3"/>
        <v>57688310.454886004</v>
      </c>
      <c r="O17" s="82">
        <f t="shared" si="3"/>
        <v>54362240.664687142</v>
      </c>
      <c r="P17" s="27">
        <f t="shared" si="3"/>
        <v>51027855.700012788</v>
      </c>
      <c r="Q17" s="27">
        <f t="shared" si="3"/>
        <v>47685134.772926748</v>
      </c>
      <c r="R17" s="27">
        <f t="shared" si="3"/>
        <v>44334057.043522991</v>
      </c>
      <c r="S17" s="27">
        <f t="shared" si="3"/>
        <v>40974601.619795725</v>
      </c>
      <c r="T17" s="27">
        <f t="shared" si="3"/>
        <v>37606747.557509139</v>
      </c>
      <c r="U17" s="27">
        <f t="shared" si="3"/>
        <v>34230473.860066839</v>
      </c>
      <c r="V17" s="27">
        <f t="shared" si="3"/>
        <v>30845759.47838093</v>
      </c>
      <c r="W17" s="27">
        <f t="shared" si="3"/>
        <v>27452583.310740806</v>
      </c>
      <c r="X17" s="27">
        <f t="shared" si="3"/>
        <v>24050924.202681582</v>
      </c>
      <c r="Y17" s="27">
        <f t="shared" si="3"/>
        <v>20640760.946852211</v>
      </c>
      <c r="Z17" s="27">
        <f t="shared" si="3"/>
        <v>17222072.282883268</v>
      </c>
      <c r="AA17" s="27">
        <f t="shared" si="3"/>
        <v>13794836.8972544</v>
      </c>
      <c r="AB17" s="27">
        <f t="shared" si="3"/>
        <v>10359033.423161462</v>
      </c>
      <c r="AC17" s="27">
        <f t="shared" si="3"/>
        <v>6914640.4403832909</v>
      </c>
      <c r="AD17" s="27">
        <f t="shared" si="3"/>
        <v>3461636.4751481744</v>
      </c>
      <c r="AE17" s="27">
        <f t="shared" si="3"/>
        <v>-3.0267983675003052E-8</v>
      </c>
      <c r="AF17" s="27"/>
    </row>
    <row r="18" spans="1:39">
      <c r="A18" s="59" t="s">
        <v>80</v>
      </c>
      <c r="B18" s="61">
        <f>O17</f>
        <v>54362240.664687142</v>
      </c>
      <c r="AM18" s="27"/>
    </row>
    <row r="22" spans="1:39">
      <c r="A22" s="340" t="s">
        <v>63</v>
      </c>
      <c r="B22" s="341"/>
    </row>
    <row r="23" spans="1:39">
      <c r="A23" s="56" t="s">
        <v>76</v>
      </c>
      <c r="B23" s="10">
        <f>Data!D6</f>
        <v>2010</v>
      </c>
      <c r="D23" s="2" t="s">
        <v>23</v>
      </c>
      <c r="E23" s="2"/>
      <c r="F23" s="24" t="s">
        <v>83</v>
      </c>
      <c r="G23" s="24">
        <v>42004</v>
      </c>
      <c r="H23" s="24">
        <v>42185</v>
      </c>
      <c r="I23" s="24">
        <v>42369</v>
      </c>
      <c r="J23" s="24">
        <v>42551</v>
      </c>
      <c r="K23" s="24">
        <v>42735</v>
      </c>
      <c r="L23" s="24">
        <v>42916</v>
      </c>
      <c r="M23" s="24">
        <v>43100</v>
      </c>
      <c r="N23" s="24">
        <v>43281</v>
      </c>
      <c r="O23" s="79">
        <v>43465</v>
      </c>
      <c r="P23" s="24">
        <v>43646</v>
      </c>
      <c r="Q23" s="24">
        <v>43830</v>
      </c>
      <c r="R23" s="24">
        <v>44012</v>
      </c>
      <c r="S23" s="24">
        <v>44196</v>
      </c>
      <c r="T23" s="24">
        <v>44377</v>
      </c>
      <c r="U23" s="24">
        <v>44561</v>
      </c>
      <c r="V23" s="24">
        <v>44742</v>
      </c>
      <c r="W23" s="24">
        <v>44926</v>
      </c>
      <c r="X23" s="24">
        <v>45107</v>
      </c>
      <c r="Y23" s="24">
        <v>45291</v>
      </c>
      <c r="Z23" s="24">
        <v>45473</v>
      </c>
      <c r="AA23" s="24">
        <v>45657</v>
      </c>
      <c r="AB23" s="24">
        <v>45838</v>
      </c>
      <c r="AC23" s="24">
        <v>46022</v>
      </c>
      <c r="AD23" s="24">
        <v>46203</v>
      </c>
      <c r="AE23" s="24">
        <v>46387</v>
      </c>
      <c r="AF23" s="2"/>
    </row>
    <row r="24" spans="1:39">
      <c r="A24" s="56" t="s">
        <v>5</v>
      </c>
      <c r="B24" s="57">
        <f>Data!F6</f>
        <v>2.5000000000000001E-3</v>
      </c>
      <c r="D24" s="2" t="s">
        <v>24</v>
      </c>
      <c r="E24" s="2"/>
      <c r="F24" t="s">
        <v>25</v>
      </c>
      <c r="G24">
        <v>1</v>
      </c>
      <c r="H24">
        <v>2</v>
      </c>
      <c r="I24">
        <v>3</v>
      </c>
      <c r="J24">
        <v>4</v>
      </c>
      <c r="K24">
        <v>5</v>
      </c>
      <c r="L24">
        <v>6</v>
      </c>
      <c r="M24">
        <v>7</v>
      </c>
      <c r="N24">
        <v>8</v>
      </c>
      <c r="O24" s="80">
        <v>9</v>
      </c>
      <c r="P24">
        <v>10</v>
      </c>
      <c r="Q24">
        <v>11</v>
      </c>
      <c r="R24">
        <v>12</v>
      </c>
      <c r="S24">
        <v>13</v>
      </c>
      <c r="T24">
        <v>14</v>
      </c>
      <c r="U24">
        <v>15</v>
      </c>
      <c r="V24">
        <v>16</v>
      </c>
      <c r="W24">
        <v>17</v>
      </c>
      <c r="X24">
        <v>18</v>
      </c>
      <c r="Y24">
        <v>19</v>
      </c>
      <c r="Z24">
        <v>20</v>
      </c>
      <c r="AA24">
        <v>21</v>
      </c>
      <c r="AB24">
        <v>22</v>
      </c>
      <c r="AC24">
        <v>23</v>
      </c>
      <c r="AD24">
        <v>24</v>
      </c>
      <c r="AE24">
        <v>25</v>
      </c>
    </row>
    <row r="25" spans="1:39">
      <c r="A25" s="56" t="s">
        <v>77</v>
      </c>
      <c r="B25" s="10">
        <f>Data!E6</f>
        <v>16.5</v>
      </c>
      <c r="D25" s="2" t="s">
        <v>28</v>
      </c>
      <c r="E25" s="2"/>
      <c r="F25" s="81"/>
      <c r="G25" s="27">
        <f>PMT($B$24,$B$27,$B$28)</f>
        <v>-3635542.4980663639</v>
      </c>
      <c r="H25" s="27">
        <f t="shared" ref="H25:AE25" si="4">PMT($B$24,$B$27,$B$28)</f>
        <v>-3635542.4980663639</v>
      </c>
      <c r="I25" s="27">
        <f t="shared" si="4"/>
        <v>-3635542.4980663639</v>
      </c>
      <c r="J25" s="27">
        <f t="shared" si="4"/>
        <v>-3635542.4980663639</v>
      </c>
      <c r="K25" s="27">
        <f t="shared" si="4"/>
        <v>-3635542.4980663639</v>
      </c>
      <c r="L25" s="27">
        <f t="shared" si="4"/>
        <v>-3635542.4980663639</v>
      </c>
      <c r="M25" s="27">
        <f t="shared" si="4"/>
        <v>-3635542.4980663639</v>
      </c>
      <c r="N25" s="27">
        <f t="shared" si="4"/>
        <v>-3635542.4980663639</v>
      </c>
      <c r="O25" s="82">
        <f t="shared" si="4"/>
        <v>-3635542.4980663639</v>
      </c>
      <c r="P25" s="27">
        <f t="shared" si="4"/>
        <v>-3635542.4980663639</v>
      </c>
      <c r="Q25" s="27">
        <f t="shared" si="4"/>
        <v>-3635542.4980663639</v>
      </c>
      <c r="R25" s="27">
        <f t="shared" si="4"/>
        <v>-3635542.4980663639</v>
      </c>
      <c r="S25" s="27">
        <f t="shared" si="4"/>
        <v>-3635542.4980663639</v>
      </c>
      <c r="T25" s="27">
        <f t="shared" si="4"/>
        <v>-3635542.4980663639</v>
      </c>
      <c r="U25" s="27">
        <f t="shared" si="4"/>
        <v>-3635542.4980663639</v>
      </c>
      <c r="V25" s="27">
        <f t="shared" si="4"/>
        <v>-3635542.4980663639</v>
      </c>
      <c r="W25" s="27">
        <f t="shared" si="4"/>
        <v>-3635542.4980663639</v>
      </c>
      <c r="X25" s="27">
        <f t="shared" si="4"/>
        <v>-3635542.4980663639</v>
      </c>
      <c r="Y25" s="27">
        <f t="shared" si="4"/>
        <v>-3635542.4980663639</v>
      </c>
      <c r="Z25" s="27">
        <f t="shared" si="4"/>
        <v>-3635542.4980663639</v>
      </c>
      <c r="AA25" s="27">
        <f t="shared" si="4"/>
        <v>-3635542.4980663639</v>
      </c>
      <c r="AB25" s="27">
        <f t="shared" si="4"/>
        <v>-3635542.4980663639</v>
      </c>
      <c r="AC25" s="27">
        <f t="shared" si="4"/>
        <v>-3635542.4980663639</v>
      </c>
      <c r="AD25" s="27">
        <f t="shared" si="4"/>
        <v>-3635542.4980663639</v>
      </c>
      <c r="AE25" s="27">
        <f t="shared" si="4"/>
        <v>-3635542.4980663639</v>
      </c>
    </row>
    <row r="26" spans="1:39">
      <c r="A26" s="56" t="s">
        <v>25</v>
      </c>
      <c r="B26" s="10">
        <f>Data!G6</f>
        <v>4</v>
      </c>
      <c r="E26" t="s">
        <v>29</v>
      </c>
      <c r="F26" s="81"/>
      <c r="G26" s="27">
        <f>PPMT($B$24, G24, $B$27,$B$28)</f>
        <v>-3415542.4980663639</v>
      </c>
      <c r="H26" s="27">
        <f t="shared" ref="H26:AE26" si="5">PPMT($B$24, H24, $B$27,$B$28)</f>
        <v>-3424081.35431153</v>
      </c>
      <c r="I26" s="27">
        <f t="shared" si="5"/>
        <v>-3432641.5576973087</v>
      </c>
      <c r="J26" s="27">
        <f t="shared" si="5"/>
        <v>-3441223.1615915522</v>
      </c>
      <c r="K26" s="27">
        <f t="shared" si="5"/>
        <v>-3449826.2194955307</v>
      </c>
      <c r="L26" s="27">
        <f t="shared" si="5"/>
        <v>-3458450.7850442696</v>
      </c>
      <c r="M26" s="27">
        <f t="shared" si="5"/>
        <v>-3467096.9120068802</v>
      </c>
      <c r="N26" s="27">
        <f t="shared" si="5"/>
        <v>-3475764.6542868977</v>
      </c>
      <c r="O26" s="82">
        <f t="shared" si="5"/>
        <v>-3484454.0659226151</v>
      </c>
      <c r="P26" s="27">
        <f t="shared" si="5"/>
        <v>-3493165.2010874213</v>
      </c>
      <c r="Q26" s="27">
        <f t="shared" si="5"/>
        <v>-3501898.11409014</v>
      </c>
      <c r="R26" s="27">
        <f t="shared" si="5"/>
        <v>-3510652.8593753655</v>
      </c>
      <c r="S26" s="27">
        <f t="shared" si="5"/>
        <v>-3519429.4915238037</v>
      </c>
      <c r="T26" s="27">
        <f t="shared" si="5"/>
        <v>-3528228.0652526133</v>
      </c>
      <c r="U26" s="27">
        <f t="shared" si="5"/>
        <v>-3537048.635415745</v>
      </c>
      <c r="V26" s="27">
        <f t="shared" si="5"/>
        <v>-3545891.2570042838</v>
      </c>
      <c r="W26" s="27">
        <f t="shared" si="5"/>
        <v>-3554755.9851467949</v>
      </c>
      <c r="X26" s="27">
        <f t="shared" si="5"/>
        <v>-3563642.8751096618</v>
      </c>
      <c r="Y26" s="27">
        <f t="shared" si="5"/>
        <v>-3572551.9822974359</v>
      </c>
      <c r="Z26" s="27">
        <f t="shared" si="5"/>
        <v>-3581483.3622531798</v>
      </c>
      <c r="AA26" s="27">
        <f t="shared" si="5"/>
        <v>-3590437.0706588128</v>
      </c>
      <c r="AB26" s="27">
        <f t="shared" si="5"/>
        <v>-3599413.1633354593</v>
      </c>
      <c r="AC26" s="27">
        <f t="shared" si="5"/>
        <v>-3608411.6962437984</v>
      </c>
      <c r="AD26" s="27">
        <f t="shared" si="5"/>
        <v>-3617432.7254844075</v>
      </c>
      <c r="AE26" s="27">
        <f t="shared" si="5"/>
        <v>-3626476.3072981192</v>
      </c>
      <c r="AF26" s="27"/>
    </row>
    <row r="27" spans="1:39">
      <c r="A27" s="56" t="s">
        <v>12</v>
      </c>
      <c r="B27" s="10">
        <f>(B25-B26)*2</f>
        <v>25</v>
      </c>
      <c r="E27" t="s">
        <v>30</v>
      </c>
      <c r="F27" s="81"/>
      <c r="G27" s="27">
        <f>IPMT($B$24, G24, $B$27,$B$28)</f>
        <v>-220000</v>
      </c>
      <c r="H27" s="27">
        <f t="shared" ref="H27:AE27" si="6">IPMT($B$24, H24, $B$27,$B$28)</f>
        <v>-211461.14375483408</v>
      </c>
      <c r="I27" s="27">
        <f t="shared" si="6"/>
        <v>-202900.94036905529</v>
      </c>
      <c r="J27" s="27">
        <f t="shared" si="6"/>
        <v>-194319.33647481195</v>
      </c>
      <c r="K27" s="27">
        <f t="shared" si="6"/>
        <v>-185716.27857083309</v>
      </c>
      <c r="L27" s="27">
        <f t="shared" si="6"/>
        <v>-177091.71302209431</v>
      </c>
      <c r="M27" s="27">
        <f t="shared" si="6"/>
        <v>-168445.58605948358</v>
      </c>
      <c r="N27" s="27">
        <f t="shared" si="6"/>
        <v>-159777.84377946641</v>
      </c>
      <c r="O27" s="82">
        <f t="shared" si="6"/>
        <v>-151088.43214374915</v>
      </c>
      <c r="P27" s="27">
        <f t="shared" si="6"/>
        <v>-142377.29697894261</v>
      </c>
      <c r="Q27" s="27">
        <f t="shared" si="6"/>
        <v>-133644.38397622405</v>
      </c>
      <c r="R27" s="27">
        <f t="shared" si="6"/>
        <v>-124889.63869099872</v>
      </c>
      <c r="S27" s="27">
        <f t="shared" si="6"/>
        <v>-116113.0065425603</v>
      </c>
      <c r="T27" s="27">
        <f t="shared" si="6"/>
        <v>-107314.43281375078</v>
      </c>
      <c r="U27" s="27">
        <f t="shared" si="6"/>
        <v>-98493.862650619238</v>
      </c>
      <c r="V27" s="27">
        <f t="shared" si="6"/>
        <v>-89651.241062079891</v>
      </c>
      <c r="W27" s="27">
        <f t="shared" si="6"/>
        <v>-80786.512919569155</v>
      </c>
      <c r="X27" s="27">
        <f t="shared" si="6"/>
        <v>-71899.622956702195</v>
      </c>
      <c r="Y27" s="27">
        <f t="shared" si="6"/>
        <v>-62990.515768928039</v>
      </c>
      <c r="Z27" s="27">
        <f t="shared" si="6"/>
        <v>-54059.135813184446</v>
      </c>
      <c r="AA27" s="27">
        <f t="shared" si="6"/>
        <v>-45105.427407551491</v>
      </c>
      <c r="AB27" s="27">
        <f t="shared" si="6"/>
        <v>-36129.334730904462</v>
      </c>
      <c r="AC27" s="27">
        <f t="shared" si="6"/>
        <v>-27130.801822565812</v>
      </c>
      <c r="AD27" s="27">
        <f t="shared" si="6"/>
        <v>-18109.772581956317</v>
      </c>
      <c r="AE27" s="27">
        <f t="shared" si="6"/>
        <v>-9066.1907682452984</v>
      </c>
      <c r="AF27" s="27"/>
    </row>
    <row r="28" spans="1:39">
      <c r="A28" s="56" t="s">
        <v>79</v>
      </c>
      <c r="B28" s="77">
        <f>Data!B6</f>
        <v>88000000</v>
      </c>
      <c r="D28" s="2" t="s">
        <v>31</v>
      </c>
      <c r="F28" s="27">
        <f>B28</f>
        <v>88000000</v>
      </c>
      <c r="G28" s="27">
        <f>F28+G26</f>
        <v>84584457.501933634</v>
      </c>
      <c r="H28" s="27">
        <f t="shared" ref="H28:AE28" si="7">G28+H26</f>
        <v>81160376.147622108</v>
      </c>
      <c r="I28" s="27">
        <f t="shared" si="7"/>
        <v>77727734.589924797</v>
      </c>
      <c r="J28" s="27">
        <f t="shared" si="7"/>
        <v>74286511.428333253</v>
      </c>
      <c r="K28" s="27">
        <f t="shared" si="7"/>
        <v>70836685.208837718</v>
      </c>
      <c r="L28" s="27">
        <f t="shared" si="7"/>
        <v>67378234.42379345</v>
      </c>
      <c r="M28" s="27">
        <f t="shared" si="7"/>
        <v>63911137.511786573</v>
      </c>
      <c r="N28" s="27">
        <f t="shared" si="7"/>
        <v>60435372.857499674</v>
      </c>
      <c r="O28" s="82">
        <f t="shared" si="7"/>
        <v>56950918.791577056</v>
      </c>
      <c r="P28" s="27">
        <f t="shared" si="7"/>
        <v>53457753.590489633</v>
      </c>
      <c r="Q28" s="27">
        <f t="shared" si="7"/>
        <v>49955855.476399496</v>
      </c>
      <c r="R28" s="27">
        <f t="shared" si="7"/>
        <v>46445202.617024131</v>
      </c>
      <c r="S28" s="27">
        <f t="shared" si="7"/>
        <v>42925773.125500329</v>
      </c>
      <c r="T28" s="27">
        <f t="shared" si="7"/>
        <v>39397545.060247719</v>
      </c>
      <c r="U28" s="27">
        <f t="shared" si="7"/>
        <v>35860496.424831972</v>
      </c>
      <c r="V28" s="27">
        <f t="shared" si="7"/>
        <v>32314605.167827688</v>
      </c>
      <c r="W28" s="27">
        <f t="shared" si="7"/>
        <v>28759849.182680894</v>
      </c>
      <c r="X28" s="27">
        <f t="shared" si="7"/>
        <v>25196206.307571232</v>
      </c>
      <c r="Y28" s="27">
        <f t="shared" si="7"/>
        <v>21623654.325273797</v>
      </c>
      <c r="Z28" s="27">
        <f t="shared" si="7"/>
        <v>18042170.963020615</v>
      </c>
      <c r="AA28" s="27">
        <f t="shared" si="7"/>
        <v>14451733.892361803</v>
      </c>
      <c r="AB28" s="27">
        <f t="shared" si="7"/>
        <v>10852320.729026344</v>
      </c>
      <c r="AC28" s="27">
        <f t="shared" si="7"/>
        <v>7243909.0327825453</v>
      </c>
      <c r="AD28" s="27">
        <f t="shared" si="7"/>
        <v>3626476.3072981378</v>
      </c>
      <c r="AE28" s="27">
        <f t="shared" si="7"/>
        <v>1.862645149230957E-8</v>
      </c>
      <c r="AF28" s="27"/>
    </row>
    <row r="29" spans="1:39">
      <c r="A29" s="59" t="s">
        <v>80</v>
      </c>
      <c r="B29" s="61">
        <f>O28</f>
        <v>56950918.791577056</v>
      </c>
      <c r="AM29" s="27"/>
    </row>
    <row r="33" spans="1:59" ht="30" customHeight="1">
      <c r="A33" s="344" t="s">
        <v>64</v>
      </c>
      <c r="B33" s="345"/>
    </row>
    <row r="34" spans="1:59">
      <c r="A34" s="56" t="s">
        <v>76</v>
      </c>
      <c r="B34" s="10">
        <f>Data!D7</f>
        <v>2013</v>
      </c>
      <c r="D34" s="2" t="s">
        <v>23</v>
      </c>
      <c r="E34" s="2"/>
      <c r="F34" s="24" t="s">
        <v>84</v>
      </c>
      <c r="G34" s="24"/>
      <c r="H34" s="24"/>
      <c r="I34" s="24"/>
      <c r="J34" s="24"/>
      <c r="K34" s="24"/>
      <c r="L34" s="24"/>
      <c r="M34" s="24"/>
      <c r="N34" s="24"/>
      <c r="O34" s="79">
        <v>43465</v>
      </c>
      <c r="P34" s="24">
        <v>43646</v>
      </c>
      <c r="Q34" s="24">
        <v>43830</v>
      </c>
      <c r="R34" s="24">
        <v>44012</v>
      </c>
      <c r="S34" s="24">
        <v>44196</v>
      </c>
      <c r="T34" s="24">
        <v>44377</v>
      </c>
      <c r="U34" s="24">
        <v>44561</v>
      </c>
      <c r="V34" s="24">
        <v>44742</v>
      </c>
      <c r="W34" s="24">
        <v>44926</v>
      </c>
      <c r="X34" s="24">
        <v>45107</v>
      </c>
      <c r="Y34" s="24">
        <v>45291</v>
      </c>
      <c r="Z34" s="24">
        <v>45473</v>
      </c>
      <c r="AA34" s="24">
        <v>45657</v>
      </c>
      <c r="AB34" s="24">
        <v>45838</v>
      </c>
      <c r="AC34" s="24">
        <v>46022</v>
      </c>
      <c r="AD34" s="24">
        <v>46203</v>
      </c>
      <c r="AE34" s="24">
        <v>46387</v>
      </c>
      <c r="AF34" s="24">
        <v>46568</v>
      </c>
      <c r="AG34" s="24">
        <v>46752</v>
      </c>
      <c r="AH34" s="24">
        <v>46934</v>
      </c>
      <c r="AI34" s="24">
        <v>47118</v>
      </c>
      <c r="AJ34" s="24">
        <v>47299</v>
      </c>
      <c r="AK34" s="24">
        <v>47483</v>
      </c>
      <c r="AL34" s="24">
        <v>47664</v>
      </c>
      <c r="AM34" s="24">
        <v>47848</v>
      </c>
      <c r="AN34" s="24">
        <v>48029</v>
      </c>
      <c r="AO34" s="24">
        <v>48213</v>
      </c>
      <c r="AP34" s="24">
        <v>48395</v>
      </c>
      <c r="AQ34" s="24">
        <v>48579</v>
      </c>
      <c r="AR34" s="24">
        <v>48760</v>
      </c>
      <c r="AS34" s="24"/>
      <c r="AT34" s="24"/>
      <c r="AU34" s="24"/>
      <c r="AV34" s="24"/>
      <c r="AW34" s="24"/>
      <c r="AX34" s="24"/>
      <c r="AY34" s="24"/>
      <c r="AZ34" s="24"/>
      <c r="BA34" s="24"/>
      <c r="BB34" s="24"/>
      <c r="BC34" s="24"/>
      <c r="BD34" s="24"/>
      <c r="BE34" s="24"/>
      <c r="BF34" s="24"/>
      <c r="BG34" s="24"/>
    </row>
    <row r="35" spans="1:59">
      <c r="A35" s="56" t="s">
        <v>5</v>
      </c>
      <c r="B35" s="57">
        <f>Data!F7</f>
        <v>2.5000000000000001E-3</v>
      </c>
      <c r="D35" s="2" t="s">
        <v>24</v>
      </c>
      <c r="E35" s="2"/>
      <c r="F35" t="s">
        <v>25</v>
      </c>
      <c r="O35" s="80">
        <v>1</v>
      </c>
      <c r="P35">
        <v>2</v>
      </c>
      <c r="Q35">
        <v>3</v>
      </c>
      <c r="R35">
        <v>4</v>
      </c>
      <c r="S35">
        <v>5</v>
      </c>
      <c r="T35">
        <v>6</v>
      </c>
      <c r="U35">
        <v>7</v>
      </c>
      <c r="V35">
        <v>8</v>
      </c>
      <c r="W35">
        <v>9</v>
      </c>
      <c r="X35">
        <v>10</v>
      </c>
      <c r="Y35">
        <v>11</v>
      </c>
      <c r="Z35">
        <v>12</v>
      </c>
      <c r="AA35">
        <v>13</v>
      </c>
      <c r="AB35">
        <v>14</v>
      </c>
      <c r="AC35">
        <v>15</v>
      </c>
      <c r="AD35">
        <v>16</v>
      </c>
      <c r="AE35">
        <v>17</v>
      </c>
      <c r="AF35">
        <v>18</v>
      </c>
      <c r="AG35">
        <v>19</v>
      </c>
      <c r="AH35">
        <v>20</v>
      </c>
      <c r="AI35">
        <v>21</v>
      </c>
      <c r="AJ35">
        <v>22</v>
      </c>
      <c r="AK35">
        <v>23</v>
      </c>
      <c r="AL35">
        <v>24</v>
      </c>
      <c r="AM35">
        <v>25</v>
      </c>
      <c r="AN35">
        <v>26</v>
      </c>
      <c r="AO35">
        <v>27</v>
      </c>
      <c r="AP35">
        <v>28</v>
      </c>
      <c r="AQ35">
        <v>29</v>
      </c>
      <c r="AR35">
        <v>30</v>
      </c>
    </row>
    <row r="36" spans="1:59">
      <c r="A36" s="56" t="s">
        <v>77</v>
      </c>
      <c r="B36" s="10">
        <f>Data!E7</f>
        <v>20</v>
      </c>
      <c r="D36" s="2" t="s">
        <v>28</v>
      </c>
      <c r="E36" s="2"/>
      <c r="F36" s="81"/>
      <c r="G36" s="81"/>
      <c r="H36" s="81"/>
      <c r="I36" s="81"/>
      <c r="J36" s="81"/>
      <c r="K36" s="81"/>
      <c r="L36" s="81"/>
      <c r="M36" s="81"/>
      <c r="N36" s="81"/>
      <c r="O36" s="82">
        <f>PMT($B$35,$B$38,$B$39)</f>
        <v>-34640586.702625521</v>
      </c>
      <c r="P36" s="27">
        <f t="shared" ref="P36:AR36" si="8">PMT($B$35,$B$38,$B$39)</f>
        <v>-34640586.702625521</v>
      </c>
      <c r="Q36" s="27">
        <f t="shared" si="8"/>
        <v>-34640586.702625521</v>
      </c>
      <c r="R36" s="27">
        <f t="shared" si="8"/>
        <v>-34640586.702625521</v>
      </c>
      <c r="S36" s="27">
        <f t="shared" si="8"/>
        <v>-34640586.702625521</v>
      </c>
      <c r="T36" s="27">
        <f t="shared" si="8"/>
        <v>-34640586.702625521</v>
      </c>
      <c r="U36" s="27">
        <f t="shared" si="8"/>
        <v>-34640586.702625521</v>
      </c>
      <c r="V36" s="27">
        <f t="shared" si="8"/>
        <v>-34640586.702625521</v>
      </c>
      <c r="W36" s="27">
        <f t="shared" si="8"/>
        <v>-34640586.702625521</v>
      </c>
      <c r="X36" s="27">
        <f t="shared" si="8"/>
        <v>-34640586.702625521</v>
      </c>
      <c r="Y36" s="27">
        <f t="shared" si="8"/>
        <v>-34640586.702625521</v>
      </c>
      <c r="Z36" s="27">
        <f t="shared" si="8"/>
        <v>-34640586.702625521</v>
      </c>
      <c r="AA36" s="27">
        <f t="shared" si="8"/>
        <v>-34640586.702625521</v>
      </c>
      <c r="AB36" s="27">
        <f t="shared" si="8"/>
        <v>-34640586.702625521</v>
      </c>
      <c r="AC36" s="27">
        <f t="shared" si="8"/>
        <v>-34640586.702625521</v>
      </c>
      <c r="AD36" s="27">
        <f t="shared" si="8"/>
        <v>-34640586.702625521</v>
      </c>
      <c r="AE36" s="27">
        <f t="shared" si="8"/>
        <v>-34640586.702625521</v>
      </c>
      <c r="AF36" s="27">
        <f t="shared" si="8"/>
        <v>-34640586.702625521</v>
      </c>
      <c r="AG36" s="27">
        <f t="shared" si="8"/>
        <v>-34640586.702625521</v>
      </c>
      <c r="AH36" s="27">
        <f t="shared" si="8"/>
        <v>-34640586.702625521</v>
      </c>
      <c r="AI36" s="27">
        <f t="shared" si="8"/>
        <v>-34640586.702625521</v>
      </c>
      <c r="AJ36" s="27">
        <f t="shared" si="8"/>
        <v>-34640586.702625521</v>
      </c>
      <c r="AK36" s="27">
        <f t="shared" si="8"/>
        <v>-34640586.702625521</v>
      </c>
      <c r="AL36" s="27">
        <f t="shared" si="8"/>
        <v>-34640586.702625521</v>
      </c>
      <c r="AM36" s="27">
        <f t="shared" si="8"/>
        <v>-34640586.702625521</v>
      </c>
      <c r="AN36" s="27">
        <f t="shared" si="8"/>
        <v>-34640586.702625521</v>
      </c>
      <c r="AO36" s="27">
        <f t="shared" si="8"/>
        <v>-34640586.702625521</v>
      </c>
      <c r="AP36" s="27">
        <f t="shared" si="8"/>
        <v>-34640586.702625521</v>
      </c>
      <c r="AQ36" s="27">
        <f t="shared" si="8"/>
        <v>-34640586.702625521</v>
      </c>
      <c r="AR36" s="27">
        <f t="shared" si="8"/>
        <v>-34640586.702625521</v>
      </c>
    </row>
    <row r="37" spans="1:59">
      <c r="A37" s="56" t="s">
        <v>25</v>
      </c>
      <c r="B37" s="10">
        <f>Data!G7</f>
        <v>5</v>
      </c>
      <c r="E37" t="s">
        <v>29</v>
      </c>
      <c r="F37" s="81"/>
      <c r="G37" s="81"/>
      <c r="H37" s="81"/>
      <c r="I37" s="81"/>
      <c r="J37" s="81"/>
      <c r="K37" s="81"/>
      <c r="L37" s="81"/>
      <c r="M37" s="81"/>
      <c r="N37" s="81"/>
      <c r="O37" s="82">
        <f>PPMT($B$35, O35,$B$38,$B$39)</f>
        <v>-32140586.702625517</v>
      </c>
      <c r="P37" s="27">
        <f t="shared" ref="P37:AR37" si="9">PPMT($B$35, P35,$B$38,$B$39)</f>
        <v>-32220938.16938208</v>
      </c>
      <c r="Q37" s="27">
        <f t="shared" si="9"/>
        <v>-32301490.514805537</v>
      </c>
      <c r="R37" s="27">
        <f t="shared" si="9"/>
        <v>-32382244.241092555</v>
      </c>
      <c r="S37" s="27">
        <f t="shared" si="9"/>
        <v>-32463199.851695281</v>
      </c>
      <c r="T37" s="27">
        <f t="shared" si="9"/>
        <v>-32544357.851324521</v>
      </c>
      <c r="U37" s="27">
        <f t="shared" si="9"/>
        <v>-32625718.74595283</v>
      </c>
      <c r="V37" s="27">
        <f t="shared" si="9"/>
        <v>-32707283.042817712</v>
      </c>
      <c r="W37" s="27">
        <f t="shared" si="9"/>
        <v>-32789051.250424758</v>
      </c>
      <c r="X37" s="27">
        <f t="shared" si="9"/>
        <v>-32871023.87855082</v>
      </c>
      <c r="Y37" s="27">
        <f t="shared" si="9"/>
        <v>-32953201.438247196</v>
      </c>
      <c r="Z37" s="27">
        <f t="shared" si="9"/>
        <v>-33035584.441842813</v>
      </c>
      <c r="AA37" s="27">
        <f t="shared" si="9"/>
        <v>-33118173.402947422</v>
      </c>
      <c r="AB37" s="27">
        <f t="shared" si="9"/>
        <v>-33200968.836454794</v>
      </c>
      <c r="AC37" s="27">
        <f t="shared" si="9"/>
        <v>-33283971.258545928</v>
      </c>
      <c r="AD37" s="27">
        <f t="shared" si="9"/>
        <v>-33367181.18669229</v>
      </c>
      <c r="AE37" s="27">
        <f t="shared" si="9"/>
        <v>-33450599.139659025</v>
      </c>
      <c r="AF37" s="27">
        <f t="shared" si="9"/>
        <v>-33534225.637508169</v>
      </c>
      <c r="AG37" s="27">
        <f t="shared" si="9"/>
        <v>-33618061.201601937</v>
      </c>
      <c r="AH37" s="27">
        <f t="shared" si="9"/>
        <v>-33702106.35460595</v>
      </c>
      <c r="AI37" s="27">
        <f t="shared" si="9"/>
        <v>-33786361.620492458</v>
      </c>
      <c r="AJ37" s="27">
        <f t="shared" si="9"/>
        <v>-33870827.524543688</v>
      </c>
      <c r="AK37" s="27">
        <f t="shared" si="9"/>
        <v>-33955504.593355052</v>
      </c>
      <c r="AL37" s="27">
        <f t="shared" si="9"/>
        <v>-34040393.354838438</v>
      </c>
      <c r="AM37" s="27">
        <f t="shared" si="9"/>
        <v>-34125494.338225536</v>
      </c>
      <c r="AN37" s="27">
        <f t="shared" si="9"/>
        <v>-34210808.074071094</v>
      </c>
      <c r="AO37" s="27">
        <f t="shared" si="9"/>
        <v>-34296335.094256274</v>
      </c>
      <c r="AP37" s="27">
        <f t="shared" si="9"/>
        <v>-34382075.93199192</v>
      </c>
      <c r="AQ37" s="27">
        <f t="shared" si="9"/>
        <v>-34468031.121821895</v>
      </c>
      <c r="AR37" s="27">
        <f t="shared" si="9"/>
        <v>-34554201.199626453</v>
      </c>
    </row>
    <row r="38" spans="1:59">
      <c r="A38" s="56" t="s">
        <v>12</v>
      </c>
      <c r="B38" s="10">
        <f>(B36-B37)*2</f>
        <v>30</v>
      </c>
      <c r="E38" t="s">
        <v>30</v>
      </c>
      <c r="F38" s="81"/>
      <c r="G38" s="81"/>
      <c r="H38" s="81"/>
      <c r="I38" s="81"/>
      <c r="J38" s="81"/>
      <c r="K38" s="81"/>
      <c r="L38" s="81"/>
      <c r="M38" s="81"/>
      <c r="N38" s="81"/>
      <c r="O38" s="82">
        <f>IPMT($B$35, O35,$B$38,$B$39)</f>
        <v>-2500000</v>
      </c>
      <c r="P38" s="27">
        <f t="shared" ref="P38:AR38" si="10">IPMT($B$35, P35,$B$38,$B$39)</f>
        <v>-2419648.5332434364</v>
      </c>
      <c r="Q38" s="27">
        <f t="shared" si="10"/>
        <v>-2339096.187819981</v>
      </c>
      <c r="R38" s="27">
        <f t="shared" si="10"/>
        <v>-2258342.4615329676</v>
      </c>
      <c r="S38" s="27">
        <f t="shared" si="10"/>
        <v>-2177386.8509302358</v>
      </c>
      <c r="T38" s="27">
        <f t="shared" si="10"/>
        <v>-2096228.8513009979</v>
      </c>
      <c r="U38" s="27">
        <f t="shared" si="10"/>
        <v>-2014867.9566726864</v>
      </c>
      <c r="V38" s="27">
        <f t="shared" si="10"/>
        <v>-1933303.6598078045</v>
      </c>
      <c r="W38" s="27">
        <f t="shared" si="10"/>
        <v>-1851535.4522007599</v>
      </c>
      <c r="X38" s="27">
        <f t="shared" si="10"/>
        <v>-1769562.8240746981</v>
      </c>
      <c r="Y38" s="27">
        <f t="shared" si="10"/>
        <v>-1687385.2643783211</v>
      </c>
      <c r="Z38" s="27">
        <f t="shared" si="10"/>
        <v>-1605002.2607827033</v>
      </c>
      <c r="AA38" s="27">
        <f t="shared" si="10"/>
        <v>-1522413.2996780958</v>
      </c>
      <c r="AB38" s="27">
        <f t="shared" si="10"/>
        <v>-1439617.8661707274</v>
      </c>
      <c r="AC38" s="27">
        <f t="shared" si="10"/>
        <v>-1356615.4440795905</v>
      </c>
      <c r="AD38" s="27">
        <f t="shared" si="10"/>
        <v>-1273405.5159332254</v>
      </c>
      <c r="AE38" s="27">
        <f t="shared" si="10"/>
        <v>-1189987.5629664948</v>
      </c>
      <c r="AF38" s="27">
        <f t="shared" si="10"/>
        <v>-1106361.0651173473</v>
      </c>
      <c r="AG38" s="27">
        <f t="shared" si="10"/>
        <v>-1022525.5010235768</v>
      </c>
      <c r="AH38" s="27">
        <f t="shared" si="10"/>
        <v>-938480.34801957197</v>
      </c>
      <c r="AI38" s="27">
        <f t="shared" si="10"/>
        <v>-854225.08213305718</v>
      </c>
      <c r="AJ38" s="27">
        <f t="shared" si="10"/>
        <v>-769759.17808182584</v>
      </c>
      <c r="AK38" s="27">
        <f t="shared" si="10"/>
        <v>-685082.10927046672</v>
      </c>
      <c r="AL38" s="27">
        <f t="shared" si="10"/>
        <v>-600193.34778707905</v>
      </c>
      <c r="AM38" s="27">
        <f t="shared" si="10"/>
        <v>-515092.36439998302</v>
      </c>
      <c r="AN38" s="27">
        <f t="shared" si="10"/>
        <v>-429778.62855441915</v>
      </c>
      <c r="AO38" s="27">
        <f t="shared" si="10"/>
        <v>-344251.60836924135</v>
      </c>
      <c r="AP38" s="27">
        <f t="shared" si="10"/>
        <v>-258510.77063360068</v>
      </c>
      <c r="AQ38" s="27">
        <f t="shared" si="10"/>
        <v>-172555.58080362086</v>
      </c>
      <c r="AR38" s="27">
        <f t="shared" si="10"/>
        <v>-86385.502999066128</v>
      </c>
    </row>
    <row r="39" spans="1:59">
      <c r="A39" s="56" t="s">
        <v>79</v>
      </c>
      <c r="B39" s="77">
        <f>Data!B7</f>
        <v>1000000000</v>
      </c>
      <c r="D39" s="2" t="s">
        <v>31</v>
      </c>
      <c r="F39" s="27">
        <f>B39</f>
        <v>1000000000</v>
      </c>
      <c r="G39" s="27"/>
      <c r="H39" s="27"/>
      <c r="I39" s="27"/>
      <c r="J39" s="27"/>
      <c r="K39" s="27"/>
      <c r="L39" s="27"/>
      <c r="M39" s="27"/>
      <c r="N39" s="27"/>
      <c r="O39" s="82">
        <f>F39+O37</f>
        <v>967859413.29737449</v>
      </c>
      <c r="P39" s="27">
        <f t="shared" ref="P39:AR39" si="11">O39+P37</f>
        <v>935638475.12799239</v>
      </c>
      <c r="Q39" s="27">
        <f t="shared" si="11"/>
        <v>903336984.61318684</v>
      </c>
      <c r="R39" s="27">
        <f t="shared" si="11"/>
        <v>870954740.37209427</v>
      </c>
      <c r="S39" s="27">
        <f t="shared" si="11"/>
        <v>838491540.52039897</v>
      </c>
      <c r="T39" s="27">
        <f t="shared" si="11"/>
        <v>805947182.66907442</v>
      </c>
      <c r="U39" s="27">
        <f t="shared" si="11"/>
        <v>773321463.92312157</v>
      </c>
      <c r="V39" s="27">
        <f t="shared" si="11"/>
        <v>740614180.88030386</v>
      </c>
      <c r="W39" s="27">
        <f t="shared" si="11"/>
        <v>707825129.62987912</v>
      </c>
      <c r="X39" s="27">
        <f t="shared" si="11"/>
        <v>674954105.75132835</v>
      </c>
      <c r="Y39" s="27">
        <f t="shared" si="11"/>
        <v>642000904.31308115</v>
      </c>
      <c r="Z39" s="27">
        <f t="shared" si="11"/>
        <v>608965319.87123835</v>
      </c>
      <c r="AA39" s="27">
        <f t="shared" si="11"/>
        <v>575847146.46829093</v>
      </c>
      <c r="AB39" s="27">
        <f t="shared" si="11"/>
        <v>542646177.63183618</v>
      </c>
      <c r="AC39" s="27">
        <f t="shared" si="11"/>
        <v>509362206.37329024</v>
      </c>
      <c r="AD39" s="27">
        <f t="shared" si="11"/>
        <v>475995025.18659794</v>
      </c>
      <c r="AE39" s="27">
        <f t="shared" si="11"/>
        <v>442544426.0469389</v>
      </c>
      <c r="AF39" s="27">
        <f t="shared" si="11"/>
        <v>409010200.40943074</v>
      </c>
      <c r="AG39" s="27">
        <f t="shared" si="11"/>
        <v>375392139.20782882</v>
      </c>
      <c r="AH39" s="27">
        <f t="shared" si="11"/>
        <v>341690032.85322285</v>
      </c>
      <c r="AI39" s="27">
        <f t="shared" si="11"/>
        <v>307903671.23273039</v>
      </c>
      <c r="AJ39" s="27">
        <f t="shared" si="11"/>
        <v>274032843.70818669</v>
      </c>
      <c r="AK39" s="27">
        <f t="shared" si="11"/>
        <v>240077339.11483163</v>
      </c>
      <c r="AL39" s="27">
        <f t="shared" si="11"/>
        <v>206036945.7599932</v>
      </c>
      <c r="AM39" s="27">
        <f t="shared" si="11"/>
        <v>171911451.42176765</v>
      </c>
      <c r="AN39" s="27">
        <f t="shared" si="11"/>
        <v>137700643.34769654</v>
      </c>
      <c r="AO39" s="27">
        <f t="shared" si="11"/>
        <v>103404308.25344026</v>
      </c>
      <c r="AP39" s="27">
        <f t="shared" si="11"/>
        <v>69022232.321448341</v>
      </c>
      <c r="AQ39" s="27">
        <f t="shared" si="11"/>
        <v>34554201.199626446</v>
      </c>
      <c r="AR39" s="27">
        <f t="shared" si="11"/>
        <v>0</v>
      </c>
    </row>
    <row r="40" spans="1:59">
      <c r="A40" s="59" t="s">
        <v>80</v>
      </c>
      <c r="B40" s="61">
        <f>O39</f>
        <v>967859413.29737449</v>
      </c>
      <c r="AM40" s="27"/>
    </row>
    <row r="44" spans="1:59">
      <c r="A44" s="340" t="s">
        <v>65</v>
      </c>
      <c r="B44" s="341"/>
    </row>
    <row r="45" spans="1:59">
      <c r="A45" s="56" t="s">
        <v>76</v>
      </c>
      <c r="B45" s="10">
        <f>Data!D8</f>
        <v>2011</v>
      </c>
      <c r="D45" s="2" t="s">
        <v>23</v>
      </c>
      <c r="E45" s="2"/>
      <c r="F45" s="24" t="s">
        <v>86</v>
      </c>
      <c r="G45" s="24"/>
      <c r="H45" s="24"/>
      <c r="I45" s="24">
        <v>42369</v>
      </c>
      <c r="J45" s="24">
        <v>42551</v>
      </c>
      <c r="K45" s="24">
        <v>42735</v>
      </c>
      <c r="L45" s="24">
        <v>42916</v>
      </c>
      <c r="M45" s="24">
        <v>43100</v>
      </c>
      <c r="N45" s="24">
        <v>43281</v>
      </c>
      <c r="O45" s="79">
        <v>43465</v>
      </c>
      <c r="P45" s="24">
        <v>43646</v>
      </c>
      <c r="Q45" s="24">
        <v>43830</v>
      </c>
      <c r="R45" s="24">
        <v>44012</v>
      </c>
      <c r="S45" s="24">
        <v>44196</v>
      </c>
      <c r="T45" s="24">
        <v>44377</v>
      </c>
      <c r="U45" s="24">
        <v>44561</v>
      </c>
      <c r="V45" s="24">
        <v>44742</v>
      </c>
      <c r="W45" s="24">
        <v>44926</v>
      </c>
      <c r="X45" s="24">
        <v>45107</v>
      </c>
      <c r="Y45" s="24">
        <v>45291</v>
      </c>
      <c r="Z45" s="24">
        <v>45473</v>
      </c>
      <c r="AA45" s="24">
        <v>45657</v>
      </c>
      <c r="AB45" s="24">
        <v>45838</v>
      </c>
      <c r="AC45" s="24">
        <v>46022</v>
      </c>
      <c r="AD45" s="24">
        <v>46203</v>
      </c>
      <c r="AE45" s="24">
        <v>46387</v>
      </c>
      <c r="AF45" s="24">
        <v>46568</v>
      </c>
      <c r="AG45" s="24">
        <v>46752</v>
      </c>
      <c r="AH45" s="24">
        <v>46934</v>
      </c>
      <c r="AI45" s="24">
        <v>47118</v>
      </c>
      <c r="AJ45" s="24">
        <v>47299</v>
      </c>
      <c r="AK45" s="24">
        <v>47483</v>
      </c>
      <c r="AL45" s="24">
        <v>47664</v>
      </c>
    </row>
    <row r="46" spans="1:59">
      <c r="A46" s="56" t="s">
        <v>5</v>
      </c>
      <c r="B46" s="57">
        <f>Data!F8</f>
        <v>2.5000000000000001E-3</v>
      </c>
      <c r="D46" s="2" t="s">
        <v>24</v>
      </c>
      <c r="E46" s="2"/>
      <c r="F46" t="s">
        <v>25</v>
      </c>
      <c r="I46">
        <v>1</v>
      </c>
      <c r="J46">
        <v>2</v>
      </c>
      <c r="K46">
        <v>3</v>
      </c>
      <c r="L46">
        <v>4</v>
      </c>
      <c r="M46">
        <v>5</v>
      </c>
      <c r="N46">
        <v>6</v>
      </c>
      <c r="O46" s="80">
        <v>7</v>
      </c>
      <c r="P46">
        <v>8</v>
      </c>
      <c r="Q46">
        <v>9</v>
      </c>
      <c r="R46">
        <v>10</v>
      </c>
      <c r="S46">
        <v>11</v>
      </c>
      <c r="T46">
        <v>12</v>
      </c>
      <c r="U46">
        <v>13</v>
      </c>
      <c r="V46">
        <v>14</v>
      </c>
      <c r="W46">
        <v>15</v>
      </c>
      <c r="X46">
        <v>16</v>
      </c>
      <c r="Y46">
        <v>17</v>
      </c>
      <c r="Z46">
        <v>18</v>
      </c>
      <c r="AA46">
        <v>19</v>
      </c>
      <c r="AB46">
        <v>20</v>
      </c>
      <c r="AC46">
        <v>21</v>
      </c>
      <c r="AD46">
        <v>22</v>
      </c>
      <c r="AE46">
        <v>23</v>
      </c>
      <c r="AF46">
        <v>24</v>
      </c>
      <c r="AG46">
        <v>25</v>
      </c>
      <c r="AH46">
        <v>26</v>
      </c>
      <c r="AI46">
        <v>27</v>
      </c>
      <c r="AJ46">
        <v>28</v>
      </c>
      <c r="AK46">
        <v>29</v>
      </c>
      <c r="AL46">
        <v>30</v>
      </c>
    </row>
    <row r="47" spans="1:59">
      <c r="A47" s="56" t="s">
        <v>77</v>
      </c>
      <c r="B47" s="10">
        <f>Data!E8</f>
        <v>19</v>
      </c>
      <c r="D47" s="2" t="s">
        <v>28</v>
      </c>
      <c r="E47" s="2"/>
      <c r="F47" s="81" t="s">
        <v>78</v>
      </c>
      <c r="G47" s="81"/>
      <c r="H47" s="81"/>
      <c r="I47" s="27">
        <f>PMT($B$46,$B$49,$B$50)</f>
        <v>-3338083.7652397379</v>
      </c>
      <c r="J47" s="27">
        <f t="shared" ref="J47:AL47" si="12">PMT($B$46,$B$49,$B$50)</f>
        <v>-3338083.7652397379</v>
      </c>
      <c r="K47" s="27">
        <f t="shared" si="12"/>
        <v>-3338083.7652397379</v>
      </c>
      <c r="L47" s="27">
        <f t="shared" si="12"/>
        <v>-3338083.7652397379</v>
      </c>
      <c r="M47" s="27">
        <f t="shared" si="12"/>
        <v>-3338083.7652397379</v>
      </c>
      <c r="N47" s="27">
        <f t="shared" si="12"/>
        <v>-3338083.7652397379</v>
      </c>
      <c r="O47" s="82">
        <f t="shared" si="12"/>
        <v>-3338083.7652397379</v>
      </c>
      <c r="P47" s="27">
        <f t="shared" si="12"/>
        <v>-3338083.7652397379</v>
      </c>
      <c r="Q47" s="27">
        <f t="shared" si="12"/>
        <v>-3338083.7652397379</v>
      </c>
      <c r="R47" s="27">
        <f t="shared" si="12"/>
        <v>-3338083.7652397379</v>
      </c>
      <c r="S47" s="27">
        <f t="shared" si="12"/>
        <v>-3338083.7652397379</v>
      </c>
      <c r="T47" s="27">
        <f t="shared" si="12"/>
        <v>-3338083.7652397379</v>
      </c>
      <c r="U47" s="27">
        <f t="shared" si="12"/>
        <v>-3338083.7652397379</v>
      </c>
      <c r="V47" s="27">
        <f t="shared" si="12"/>
        <v>-3338083.7652397379</v>
      </c>
      <c r="W47" s="27">
        <f t="shared" si="12"/>
        <v>-3338083.7652397379</v>
      </c>
      <c r="X47" s="27">
        <f t="shared" si="12"/>
        <v>-3338083.7652397379</v>
      </c>
      <c r="Y47" s="27">
        <f t="shared" si="12"/>
        <v>-3338083.7652397379</v>
      </c>
      <c r="Z47" s="27">
        <f t="shared" si="12"/>
        <v>-3338083.7652397379</v>
      </c>
      <c r="AA47" s="27">
        <f t="shared" si="12"/>
        <v>-3338083.7652397379</v>
      </c>
      <c r="AB47" s="27">
        <f t="shared" si="12"/>
        <v>-3338083.7652397379</v>
      </c>
      <c r="AC47" s="27">
        <f t="shared" si="12"/>
        <v>-3338083.7652397379</v>
      </c>
      <c r="AD47" s="27">
        <f t="shared" si="12"/>
        <v>-3338083.7652397379</v>
      </c>
      <c r="AE47" s="27">
        <f t="shared" si="12"/>
        <v>-3338083.7652397379</v>
      </c>
      <c r="AF47" s="27">
        <f t="shared" si="12"/>
        <v>-3338083.7652397379</v>
      </c>
      <c r="AG47" s="27">
        <f t="shared" si="12"/>
        <v>-3338083.7652397379</v>
      </c>
      <c r="AH47" s="27">
        <f t="shared" si="12"/>
        <v>-3338083.7652397379</v>
      </c>
      <c r="AI47" s="27">
        <f t="shared" si="12"/>
        <v>-3338083.7652397379</v>
      </c>
      <c r="AJ47" s="27">
        <f t="shared" si="12"/>
        <v>-3338083.7652397379</v>
      </c>
      <c r="AK47" s="27">
        <f t="shared" si="12"/>
        <v>-3338083.7652397379</v>
      </c>
      <c r="AL47" s="27">
        <f t="shared" si="12"/>
        <v>-3338083.7652397379</v>
      </c>
    </row>
    <row r="48" spans="1:59">
      <c r="A48" s="56" t="s">
        <v>25</v>
      </c>
      <c r="B48" s="10">
        <f>Data!G8</f>
        <v>4</v>
      </c>
      <c r="E48" t="s">
        <v>29</v>
      </c>
      <c r="F48" s="81">
        <v>0</v>
      </c>
      <c r="G48" s="81"/>
      <c r="H48" s="81"/>
      <c r="I48" s="27">
        <f>PPMT($B$46, I46, $B$49,$B$50)</f>
        <v>-3097175.3336147382</v>
      </c>
      <c r="J48" s="27">
        <f t="shared" ref="J48:AL48" si="13">PPMT($B$46, J46, $B$49,$B$50)</f>
        <v>-3104918.2719487743</v>
      </c>
      <c r="K48" s="27">
        <f t="shared" si="13"/>
        <v>-3112680.5676286467</v>
      </c>
      <c r="L48" s="27">
        <f t="shared" si="13"/>
        <v>-3120462.269047718</v>
      </c>
      <c r="M48" s="27">
        <f t="shared" si="13"/>
        <v>-3128263.4247203376</v>
      </c>
      <c r="N48" s="27">
        <f t="shared" si="13"/>
        <v>-3136084.0832821382</v>
      </c>
      <c r="O48" s="82">
        <f t="shared" si="13"/>
        <v>-3143924.2934903437</v>
      </c>
      <c r="P48" s="27">
        <f t="shared" si="13"/>
        <v>-3151784.104224069</v>
      </c>
      <c r="Q48" s="27">
        <f t="shared" si="13"/>
        <v>-3159663.5644846298</v>
      </c>
      <c r="R48" s="27">
        <f t="shared" si="13"/>
        <v>-3167562.7233958412</v>
      </c>
      <c r="S48" s="27">
        <f t="shared" si="13"/>
        <v>-3175481.6302043307</v>
      </c>
      <c r="T48" s="27">
        <f t="shared" si="13"/>
        <v>-3183420.3342798413</v>
      </c>
      <c r="U48" s="27">
        <f t="shared" si="13"/>
        <v>-3191378.8851155415</v>
      </c>
      <c r="V48" s="27">
        <f t="shared" si="13"/>
        <v>-3199357.3323283303</v>
      </c>
      <c r="W48" s="27">
        <f t="shared" si="13"/>
        <v>-3207355.7256591511</v>
      </c>
      <c r="X48" s="27">
        <f t="shared" si="13"/>
        <v>-3215374.1149732992</v>
      </c>
      <c r="Y48" s="27">
        <f t="shared" si="13"/>
        <v>-3223412.5502607324</v>
      </c>
      <c r="Z48" s="27">
        <f t="shared" si="13"/>
        <v>-3231471.0816363837</v>
      </c>
      <c r="AA48" s="27">
        <f t="shared" si="13"/>
        <v>-3239549.7593404748</v>
      </c>
      <c r="AB48" s="27">
        <f t="shared" si="13"/>
        <v>-3247648.633738826</v>
      </c>
      <c r="AC48" s="27">
        <f t="shared" si="13"/>
        <v>-3255767.755323173</v>
      </c>
      <c r="AD48" s="27">
        <f t="shared" si="13"/>
        <v>-3263907.1747114807</v>
      </c>
      <c r="AE48" s="27">
        <f t="shared" si="13"/>
        <v>-3272066.9426482595</v>
      </c>
      <c r="AF48" s="27">
        <f t="shared" si="13"/>
        <v>-3280247.1100048805</v>
      </c>
      <c r="AG48" s="27">
        <f t="shared" si="13"/>
        <v>-3288447.7277798927</v>
      </c>
      <c r="AH48" s="27">
        <f t="shared" si="13"/>
        <v>-3296668.8470993424</v>
      </c>
      <c r="AI48" s="27">
        <f t="shared" si="13"/>
        <v>-3304910.5192170907</v>
      </c>
      <c r="AJ48" s="27">
        <f t="shared" si="13"/>
        <v>-3313172.7955151331</v>
      </c>
      <c r="AK48" s="27">
        <f t="shared" si="13"/>
        <v>-3321455.7275039209</v>
      </c>
      <c r="AL48" s="27">
        <f t="shared" si="13"/>
        <v>-3329759.3668226809</v>
      </c>
    </row>
    <row r="49" spans="1:40">
      <c r="A49" s="56" t="s">
        <v>12</v>
      </c>
      <c r="B49" s="10">
        <f>(B47-B48)*2</f>
        <v>30</v>
      </c>
      <c r="E49" t="s">
        <v>30</v>
      </c>
      <c r="F49" s="81">
        <v>0</v>
      </c>
      <c r="G49" s="81"/>
      <c r="H49" s="81"/>
      <c r="I49" s="27">
        <f>IPMT($B$46, I46, $B$49,$B$50)</f>
        <v>-240908.43162499997</v>
      </c>
      <c r="J49" s="27">
        <f t="shared" ref="J49:AL49" si="14">IPMT($B$46, J46, $B$49,$B$50)</f>
        <v>-233165.49329096318</v>
      </c>
      <c r="K49" s="27">
        <f t="shared" si="14"/>
        <v>-225403.19761109125</v>
      </c>
      <c r="L49" s="27">
        <f t="shared" si="14"/>
        <v>-217621.49619201967</v>
      </c>
      <c r="M49" s="27">
        <f t="shared" si="14"/>
        <v>-209820.34051940034</v>
      </c>
      <c r="N49" s="27">
        <f t="shared" si="14"/>
        <v>-201999.68195759947</v>
      </c>
      <c r="O49" s="82">
        <f t="shared" si="14"/>
        <v>-194159.47174939414</v>
      </c>
      <c r="P49" s="27">
        <f t="shared" si="14"/>
        <v>-186299.6610156683</v>
      </c>
      <c r="Q49" s="27">
        <f t="shared" si="14"/>
        <v>-178420.20075510812</v>
      </c>
      <c r="R49" s="27">
        <f t="shared" si="14"/>
        <v>-170521.04184389656</v>
      </c>
      <c r="S49" s="27">
        <f t="shared" si="14"/>
        <v>-162602.13503540694</v>
      </c>
      <c r="T49" s="27">
        <f t="shared" si="14"/>
        <v>-154663.4309598961</v>
      </c>
      <c r="U49" s="27">
        <f t="shared" si="14"/>
        <v>-146704.8801241965</v>
      </c>
      <c r="V49" s="27">
        <f t="shared" si="14"/>
        <v>-138726.43291140764</v>
      </c>
      <c r="W49" s="27">
        <f t="shared" si="14"/>
        <v>-130728.03958058682</v>
      </c>
      <c r="X49" s="27">
        <f t="shared" si="14"/>
        <v>-122709.65026643893</v>
      </c>
      <c r="Y49" s="27">
        <f t="shared" si="14"/>
        <v>-114671.2149790057</v>
      </c>
      <c r="Z49" s="27">
        <f t="shared" si="14"/>
        <v>-106612.68360335386</v>
      </c>
      <c r="AA49" s="27">
        <f t="shared" si="14"/>
        <v>-98534.005899262891</v>
      </c>
      <c r="AB49" s="27">
        <f t="shared" si="14"/>
        <v>-90435.131500911695</v>
      </c>
      <c r="AC49" s="27">
        <f t="shared" si="14"/>
        <v>-82316.009916564653</v>
      </c>
      <c r="AD49" s="27">
        <f t="shared" si="14"/>
        <v>-74176.590528256696</v>
      </c>
      <c r="AE49" s="27">
        <f t="shared" si="14"/>
        <v>-66016.822591478005</v>
      </c>
      <c r="AF49" s="27">
        <f t="shared" si="14"/>
        <v>-57836.65523485736</v>
      </c>
      <c r="AG49" s="27">
        <f t="shared" si="14"/>
        <v>-49636.03745984516</v>
      </c>
      <c r="AH49" s="27">
        <f t="shared" si="14"/>
        <v>-41414.918140395421</v>
      </c>
      <c r="AI49" s="27">
        <f t="shared" si="14"/>
        <v>-33173.246022647065</v>
      </c>
      <c r="AJ49" s="27">
        <f t="shared" si="14"/>
        <v>-24910.969724604343</v>
      </c>
      <c r="AK49" s="27">
        <f t="shared" si="14"/>
        <v>-16628.037735816502</v>
      </c>
      <c r="AL49" s="27">
        <f t="shared" si="14"/>
        <v>-8324.3984170567037</v>
      </c>
    </row>
    <row r="50" spans="1:40">
      <c r="A50" s="56" t="s">
        <v>79</v>
      </c>
      <c r="B50" s="77">
        <f>Data!B8</f>
        <v>96363372.650000006</v>
      </c>
      <c r="D50" s="2" t="s">
        <v>31</v>
      </c>
      <c r="F50" s="27">
        <f>B50</f>
        <v>96363372.650000006</v>
      </c>
      <c r="G50" s="27"/>
      <c r="H50" s="27"/>
      <c r="I50" s="27">
        <f>F50+I48</f>
        <v>93266197.316385269</v>
      </c>
      <c r="J50" s="27">
        <f t="shared" ref="J50:AL50" si="15">I50+J48</f>
        <v>90161279.044436499</v>
      </c>
      <c r="K50" s="27">
        <f t="shared" si="15"/>
        <v>87048598.476807848</v>
      </c>
      <c r="L50" s="27">
        <f t="shared" si="15"/>
        <v>83928136.207760125</v>
      </c>
      <c r="M50" s="27">
        <f t="shared" si="15"/>
        <v>80799872.783039793</v>
      </c>
      <c r="N50" s="27">
        <f t="shared" si="15"/>
        <v>77663788.69975765</v>
      </c>
      <c r="O50" s="82">
        <f t="shared" si="15"/>
        <v>74519864.4062673</v>
      </c>
      <c r="P50" s="27">
        <f t="shared" si="15"/>
        <v>71368080.302043229</v>
      </c>
      <c r="Q50" s="27">
        <f t="shared" si="15"/>
        <v>68208416.737558603</v>
      </c>
      <c r="R50" s="27">
        <f t="shared" si="15"/>
        <v>65040854.014162764</v>
      </c>
      <c r="S50" s="27">
        <f t="shared" si="15"/>
        <v>61865372.383958437</v>
      </c>
      <c r="T50" s="27">
        <f t="shared" si="15"/>
        <v>58681952.049678594</v>
      </c>
      <c r="U50" s="27">
        <f t="shared" si="15"/>
        <v>55490573.164563052</v>
      </c>
      <c r="V50" s="27">
        <f t="shared" si="15"/>
        <v>52291215.832234725</v>
      </c>
      <c r="W50" s="27">
        <f t="shared" si="15"/>
        <v>49083860.106575571</v>
      </c>
      <c r="X50" s="27">
        <f t="shared" si="15"/>
        <v>45868485.991602272</v>
      </c>
      <c r="Y50" s="27">
        <f t="shared" si="15"/>
        <v>42645073.441341542</v>
      </c>
      <c r="Z50" s="27">
        <f t="shared" si="15"/>
        <v>39413602.359705158</v>
      </c>
      <c r="AA50" s="27">
        <f t="shared" si="15"/>
        <v>36174052.600364685</v>
      </c>
      <c r="AB50" s="27">
        <f t="shared" si="15"/>
        <v>32926403.966625858</v>
      </c>
      <c r="AC50" s="27">
        <f t="shared" si="15"/>
        <v>29670636.211302686</v>
      </c>
      <c r="AD50" s="27">
        <f t="shared" si="15"/>
        <v>26406729.036591206</v>
      </c>
      <c r="AE50" s="27">
        <f t="shared" si="15"/>
        <v>23134662.093942948</v>
      </c>
      <c r="AF50" s="27">
        <f t="shared" si="15"/>
        <v>19854414.983938068</v>
      </c>
      <c r="AG50" s="27">
        <f t="shared" si="15"/>
        <v>16565967.256158175</v>
      </c>
      <c r="AH50" s="27">
        <f t="shared" si="15"/>
        <v>13269298.409058832</v>
      </c>
      <c r="AI50" s="27">
        <f t="shared" si="15"/>
        <v>9964387.889841741</v>
      </c>
      <c r="AJ50" s="27">
        <f t="shared" si="15"/>
        <v>6651215.0943266079</v>
      </c>
      <c r="AK50" s="27">
        <f t="shared" si="15"/>
        <v>3329759.366822687</v>
      </c>
      <c r="AL50" s="27">
        <f t="shared" si="15"/>
        <v>6.0535967350006104E-9</v>
      </c>
    </row>
    <row r="51" spans="1:40">
      <c r="A51" s="59" t="s">
        <v>80</v>
      </c>
      <c r="B51" s="61">
        <f>O50</f>
        <v>74519864.4062673</v>
      </c>
      <c r="AM51" s="27"/>
    </row>
    <row r="55" spans="1:40">
      <c r="A55" s="340" t="s">
        <v>66</v>
      </c>
      <c r="B55" s="341"/>
    </row>
    <row r="56" spans="1:40">
      <c r="A56" s="56" t="s">
        <v>76</v>
      </c>
      <c r="B56" s="10">
        <f>Data!D9</f>
        <v>2014</v>
      </c>
      <c r="D56" s="2" t="s">
        <v>23</v>
      </c>
      <c r="E56" s="2"/>
      <c r="F56" s="24" t="s">
        <v>87</v>
      </c>
      <c r="G56" s="24"/>
      <c r="H56" s="24"/>
      <c r="I56" s="24"/>
      <c r="J56" s="24"/>
      <c r="K56" s="24"/>
      <c r="L56" s="24"/>
      <c r="M56" s="24"/>
      <c r="N56" s="24"/>
      <c r="O56" s="79">
        <v>43465</v>
      </c>
      <c r="P56" s="24">
        <v>43646</v>
      </c>
      <c r="Q56" s="24">
        <v>43830</v>
      </c>
      <c r="R56" s="24">
        <v>44012</v>
      </c>
      <c r="S56" s="24">
        <v>44196</v>
      </c>
      <c r="T56" s="24">
        <v>44377</v>
      </c>
      <c r="U56" s="24">
        <v>44561</v>
      </c>
      <c r="V56" s="24">
        <v>44742</v>
      </c>
      <c r="W56" s="24">
        <v>44926</v>
      </c>
      <c r="X56" s="24">
        <v>45107</v>
      </c>
      <c r="Y56" s="24">
        <v>45291</v>
      </c>
      <c r="Z56" s="24">
        <v>45473</v>
      </c>
      <c r="AA56" s="24">
        <v>45657</v>
      </c>
      <c r="AB56" s="24">
        <v>45838</v>
      </c>
      <c r="AC56" s="24">
        <v>46022</v>
      </c>
      <c r="AD56" s="24">
        <v>46203</v>
      </c>
      <c r="AE56" s="24">
        <v>46387</v>
      </c>
      <c r="AF56" s="24">
        <v>46568</v>
      </c>
      <c r="AG56" s="24">
        <v>46752</v>
      </c>
      <c r="AH56" s="24">
        <v>46934</v>
      </c>
      <c r="AI56" s="24"/>
      <c r="AJ56" s="24"/>
      <c r="AK56" s="24"/>
      <c r="AL56" s="24"/>
      <c r="AM56" s="24"/>
      <c r="AN56" s="2"/>
    </row>
    <row r="57" spans="1:40">
      <c r="A57" s="56" t="s">
        <v>5</v>
      </c>
      <c r="B57" s="57">
        <f>Data!F9</f>
        <v>2.5000000000000001E-3</v>
      </c>
      <c r="D57" s="2" t="s">
        <v>24</v>
      </c>
      <c r="E57" s="2"/>
      <c r="F57" t="s">
        <v>25</v>
      </c>
      <c r="O57" s="80">
        <v>1</v>
      </c>
      <c r="P57">
        <v>2</v>
      </c>
      <c r="Q57">
        <v>3</v>
      </c>
      <c r="R57">
        <v>4</v>
      </c>
      <c r="S57">
        <v>5</v>
      </c>
      <c r="T57">
        <v>6</v>
      </c>
      <c r="U57">
        <v>7</v>
      </c>
      <c r="V57">
        <v>8</v>
      </c>
      <c r="W57">
        <v>9</v>
      </c>
      <c r="X57">
        <v>10</v>
      </c>
      <c r="Y57">
        <v>11</v>
      </c>
      <c r="Z57">
        <v>12</v>
      </c>
      <c r="AA57">
        <v>13</v>
      </c>
      <c r="AB57">
        <v>14</v>
      </c>
      <c r="AC57">
        <v>15</v>
      </c>
      <c r="AD57">
        <v>16</v>
      </c>
      <c r="AE57">
        <v>17</v>
      </c>
      <c r="AF57">
        <v>18</v>
      </c>
      <c r="AG57">
        <v>19</v>
      </c>
      <c r="AH57">
        <v>20</v>
      </c>
    </row>
    <row r="58" spans="1:40">
      <c r="A58" s="56" t="s">
        <v>77</v>
      </c>
      <c r="B58" s="10">
        <f>Data!E9</f>
        <v>14</v>
      </c>
      <c r="D58" s="2" t="s">
        <v>28</v>
      </c>
      <c r="E58" s="2"/>
      <c r="F58" s="81"/>
      <c r="G58" s="81"/>
      <c r="H58" s="81"/>
      <c r="I58" s="81"/>
      <c r="J58" s="81"/>
      <c r="K58" s="81"/>
      <c r="L58" s="81"/>
      <c r="M58" s="81"/>
      <c r="N58" s="81"/>
      <c r="O58" s="82">
        <f>PMT($B$57,$B$60,$B$61)</f>
        <v>-2876318.8021001862</v>
      </c>
      <c r="P58" s="27">
        <f t="shared" ref="P58:AH58" si="16">PMT($B$57,$B$60,$B$61)</f>
        <v>-2876318.8021001862</v>
      </c>
      <c r="Q58" s="27">
        <f t="shared" si="16"/>
        <v>-2876318.8021001862</v>
      </c>
      <c r="R58" s="27">
        <f t="shared" si="16"/>
        <v>-2876318.8021001862</v>
      </c>
      <c r="S58" s="27">
        <f t="shared" si="16"/>
        <v>-2876318.8021001862</v>
      </c>
      <c r="T58" s="27">
        <f t="shared" si="16"/>
        <v>-2876318.8021001862</v>
      </c>
      <c r="U58" s="27">
        <f t="shared" si="16"/>
        <v>-2876318.8021001862</v>
      </c>
      <c r="V58" s="27">
        <f t="shared" si="16"/>
        <v>-2876318.8021001862</v>
      </c>
      <c r="W58" s="27">
        <f t="shared" si="16"/>
        <v>-2876318.8021001862</v>
      </c>
      <c r="X58" s="27">
        <f t="shared" si="16"/>
        <v>-2876318.8021001862</v>
      </c>
      <c r="Y58" s="27">
        <f t="shared" si="16"/>
        <v>-2876318.8021001862</v>
      </c>
      <c r="Z58" s="27">
        <f t="shared" si="16"/>
        <v>-2876318.8021001862</v>
      </c>
      <c r="AA58" s="27">
        <f t="shared" si="16"/>
        <v>-2876318.8021001862</v>
      </c>
      <c r="AB58" s="27">
        <f t="shared" si="16"/>
        <v>-2876318.8021001862</v>
      </c>
      <c r="AC58" s="27">
        <f t="shared" si="16"/>
        <v>-2876318.8021001862</v>
      </c>
      <c r="AD58" s="27">
        <f t="shared" si="16"/>
        <v>-2876318.8021001862</v>
      </c>
      <c r="AE58" s="27">
        <f t="shared" si="16"/>
        <v>-2876318.8021001862</v>
      </c>
      <c r="AF58" s="27">
        <f t="shared" si="16"/>
        <v>-2876318.8021001862</v>
      </c>
      <c r="AG58" s="27">
        <f t="shared" si="16"/>
        <v>-2876318.8021001862</v>
      </c>
      <c r="AH58" s="27">
        <f t="shared" si="16"/>
        <v>-2876318.8021001862</v>
      </c>
      <c r="AI58" s="27"/>
      <c r="AJ58" s="27"/>
      <c r="AK58" s="27"/>
      <c r="AL58" s="27"/>
      <c r="AM58" s="27"/>
    </row>
    <row r="59" spans="1:40">
      <c r="A59" s="56" t="s">
        <v>25</v>
      </c>
      <c r="B59" s="10">
        <f>Data!G9</f>
        <v>4</v>
      </c>
      <c r="E59" t="s">
        <v>29</v>
      </c>
      <c r="F59" s="81"/>
      <c r="G59" s="81"/>
      <c r="H59" s="81"/>
      <c r="I59" s="81"/>
      <c r="J59" s="81"/>
      <c r="K59" s="81"/>
      <c r="L59" s="81"/>
      <c r="M59" s="81"/>
      <c r="N59" s="81"/>
      <c r="O59" s="82">
        <f>PPMT($B$57, O57, $B$60,$B$61)</f>
        <v>-2736209.8021001862</v>
      </c>
      <c r="P59" s="27">
        <f t="shared" ref="P59:AH59" si="17">PPMT($B$57, P57, $B$60,$B$61)</f>
        <v>-2743050.3266054369</v>
      </c>
      <c r="Q59" s="27">
        <f t="shared" si="17"/>
        <v>-2749907.9524219506</v>
      </c>
      <c r="R59" s="27">
        <f t="shared" si="17"/>
        <v>-2756782.7223030054</v>
      </c>
      <c r="S59" s="27">
        <f t="shared" si="17"/>
        <v>-2763674.6791087626</v>
      </c>
      <c r="T59" s="27">
        <f t="shared" si="17"/>
        <v>-2770583.8658065349</v>
      </c>
      <c r="U59" s="27">
        <f t="shared" si="17"/>
        <v>-2777510.3254710515</v>
      </c>
      <c r="V59" s="27">
        <f t="shared" si="17"/>
        <v>-2784454.1012847289</v>
      </c>
      <c r="W59" s="27">
        <f t="shared" si="17"/>
        <v>-2791415.2365379403</v>
      </c>
      <c r="X59" s="27">
        <f t="shared" si="17"/>
        <v>-2798393.7746292856</v>
      </c>
      <c r="Y59" s="27">
        <f t="shared" si="17"/>
        <v>-2805389.7590658586</v>
      </c>
      <c r="Z59" s="27">
        <f t="shared" si="17"/>
        <v>-2812403.2334635234</v>
      </c>
      <c r="AA59" s="27">
        <f t="shared" si="17"/>
        <v>-2819434.2415471822</v>
      </c>
      <c r="AB59" s="27">
        <f t="shared" si="17"/>
        <v>-2826482.8271510499</v>
      </c>
      <c r="AC59" s="27">
        <f t="shared" si="17"/>
        <v>-2833549.0342189278</v>
      </c>
      <c r="AD59" s="27">
        <f t="shared" si="17"/>
        <v>-2840632.9068044755</v>
      </c>
      <c r="AE59" s="27">
        <f t="shared" si="17"/>
        <v>-2847734.4890714861</v>
      </c>
      <c r="AF59" s="27">
        <f t="shared" si="17"/>
        <v>-2854853.8252941649</v>
      </c>
      <c r="AG59" s="27">
        <f t="shared" si="17"/>
        <v>-2861990.9598574</v>
      </c>
      <c r="AH59" s="27">
        <f t="shared" si="17"/>
        <v>-2869145.9372570436</v>
      </c>
      <c r="AI59" s="27"/>
      <c r="AJ59" s="27"/>
      <c r="AK59" s="27"/>
      <c r="AL59" s="27"/>
      <c r="AM59" s="27"/>
      <c r="AN59" s="27"/>
    </row>
    <row r="60" spans="1:40">
      <c r="A60" s="56" t="s">
        <v>12</v>
      </c>
      <c r="B60" s="10">
        <f>(B58-B59)*2</f>
        <v>20</v>
      </c>
      <c r="E60" t="s">
        <v>30</v>
      </c>
      <c r="F60" s="81"/>
      <c r="G60" s="81"/>
      <c r="H60" s="81"/>
      <c r="I60" s="81"/>
      <c r="J60" s="81"/>
      <c r="K60" s="81"/>
      <c r="L60" s="81"/>
      <c r="M60" s="81"/>
      <c r="N60" s="81"/>
      <c r="O60" s="82">
        <f>IPMT($B$57, O57, $B$60,$B$61)</f>
        <v>-140109</v>
      </c>
      <c r="P60" s="27">
        <f t="shared" ref="P60:AH60" si="18">IPMT($B$57, P57, $B$60,$B$61)</f>
        <v>-133268.47549474952</v>
      </c>
      <c r="Q60" s="27">
        <f t="shared" si="18"/>
        <v>-126410.84967823593</v>
      </c>
      <c r="R60" s="27">
        <f t="shared" si="18"/>
        <v>-119536.07979718107</v>
      </c>
      <c r="S60" s="27">
        <f t="shared" si="18"/>
        <v>-112644.12299142356</v>
      </c>
      <c r="T60" s="27">
        <f t="shared" si="18"/>
        <v>-105734.93629365163</v>
      </c>
      <c r="U60" s="27">
        <f t="shared" si="18"/>
        <v>-98808.476629135315</v>
      </c>
      <c r="V60" s="27">
        <f t="shared" si="18"/>
        <v>-91864.700815457662</v>
      </c>
      <c r="W60" s="27">
        <f t="shared" si="18"/>
        <v>-84903.565562245843</v>
      </c>
      <c r="X60" s="27">
        <f t="shared" si="18"/>
        <v>-77925.027470900997</v>
      </c>
      <c r="Y60" s="27">
        <f t="shared" si="18"/>
        <v>-70929.043034327784</v>
      </c>
      <c r="Z60" s="27">
        <f t="shared" si="18"/>
        <v>-63915.56863666312</v>
      </c>
      <c r="AA60" s="27">
        <f t="shared" si="18"/>
        <v>-56884.560553004325</v>
      </c>
      <c r="AB60" s="27">
        <f t="shared" si="18"/>
        <v>-49835.974949136376</v>
      </c>
      <c r="AC60" s="27">
        <f t="shared" si="18"/>
        <v>-42769.767881258747</v>
      </c>
      <c r="AD60" s="27">
        <f t="shared" si="18"/>
        <v>-35685.895295711431</v>
      </c>
      <c r="AE60" s="27">
        <f t="shared" si="18"/>
        <v>-28584.313028700242</v>
      </c>
      <c r="AF60" s="27">
        <f t="shared" si="18"/>
        <v>-21464.976806021525</v>
      </c>
      <c r="AG60" s="27">
        <f t="shared" si="18"/>
        <v>-14327.84224278611</v>
      </c>
      <c r="AH60" s="27">
        <f t="shared" si="18"/>
        <v>-7172.86484314261</v>
      </c>
      <c r="AI60" s="27"/>
      <c r="AJ60" s="27"/>
      <c r="AK60" s="27"/>
      <c r="AL60" s="27"/>
      <c r="AM60" s="27"/>
      <c r="AN60" s="27"/>
    </row>
    <row r="61" spans="1:40">
      <c r="A61" s="56" t="s">
        <v>79</v>
      </c>
      <c r="B61" s="77">
        <f>Data!B9</f>
        <v>56043600</v>
      </c>
      <c r="D61" s="2" t="s">
        <v>31</v>
      </c>
      <c r="F61" s="27">
        <f>B61</f>
        <v>56043600</v>
      </c>
      <c r="G61" s="27"/>
      <c r="H61" s="27"/>
      <c r="I61" s="27"/>
      <c r="J61" s="27"/>
      <c r="K61" s="27"/>
      <c r="L61" s="27"/>
      <c r="M61" s="27"/>
      <c r="N61" s="27"/>
      <c r="O61" s="82">
        <f>F61+O59</f>
        <v>53307390.197899811</v>
      </c>
      <c r="P61" s="27">
        <f t="shared" ref="P61:AH61" si="19">O61+P59</f>
        <v>50564339.871294372</v>
      </c>
      <c r="Q61" s="27">
        <f t="shared" si="19"/>
        <v>47814431.918872423</v>
      </c>
      <c r="R61" s="27">
        <f t="shared" si="19"/>
        <v>45057649.19656942</v>
      </c>
      <c r="S61" s="27">
        <f t="shared" si="19"/>
        <v>42293974.517460659</v>
      </c>
      <c r="T61" s="27">
        <f t="shared" si="19"/>
        <v>39523390.651654124</v>
      </c>
      <c r="U61" s="27">
        <f t="shared" si="19"/>
        <v>36745880.326183073</v>
      </c>
      <c r="V61" s="27">
        <f t="shared" si="19"/>
        <v>33961426.224898346</v>
      </c>
      <c r="W61" s="27">
        <f t="shared" si="19"/>
        <v>31170010.988360405</v>
      </c>
      <c r="X61" s="27">
        <f t="shared" si="19"/>
        <v>28371617.213731118</v>
      </c>
      <c r="Y61" s="27">
        <f t="shared" si="19"/>
        <v>25566227.454665259</v>
      </c>
      <c r="Z61" s="27">
        <f t="shared" si="19"/>
        <v>22753824.221201736</v>
      </c>
      <c r="AA61" s="27">
        <f t="shared" si="19"/>
        <v>19934389.979654554</v>
      </c>
      <c r="AB61" s="27">
        <f t="shared" si="19"/>
        <v>17107907.152503505</v>
      </c>
      <c r="AC61" s="27">
        <f t="shared" si="19"/>
        <v>14274358.118284578</v>
      </c>
      <c r="AD61" s="27">
        <f t="shared" si="19"/>
        <v>11433725.211480102</v>
      </c>
      <c r="AE61" s="27">
        <f t="shared" si="19"/>
        <v>8585990.7224086151</v>
      </c>
      <c r="AF61" s="27">
        <f t="shared" si="19"/>
        <v>5731136.8971144501</v>
      </c>
      <c r="AG61" s="27">
        <f t="shared" si="19"/>
        <v>2869145.9372570501</v>
      </c>
      <c r="AH61" s="27">
        <f t="shared" si="19"/>
        <v>6.5192580223083496E-9</v>
      </c>
      <c r="AI61" s="27"/>
      <c r="AJ61" s="27"/>
      <c r="AK61" s="27"/>
      <c r="AL61" s="27"/>
      <c r="AM61" s="27"/>
      <c r="AN61" s="27"/>
    </row>
    <row r="62" spans="1:40">
      <c r="A62" s="59" t="s">
        <v>80</v>
      </c>
      <c r="B62" s="61">
        <f>O61</f>
        <v>53307390.197899811</v>
      </c>
      <c r="AM62" s="27"/>
    </row>
    <row r="67" spans="1:40">
      <c r="A67" s="340" t="s">
        <v>67</v>
      </c>
      <c r="B67" s="341"/>
    </row>
    <row r="68" spans="1:40">
      <c r="A68" s="56" t="s">
        <v>76</v>
      </c>
      <c r="B68" s="10">
        <f>Data!D10</f>
        <v>2013</v>
      </c>
      <c r="D68" s="2" t="s">
        <v>23</v>
      </c>
      <c r="E68" s="2"/>
      <c r="F68" s="24" t="s">
        <v>88</v>
      </c>
      <c r="G68" s="24"/>
      <c r="H68" s="24"/>
      <c r="I68" s="24"/>
      <c r="J68" s="24"/>
      <c r="K68" s="24"/>
      <c r="L68" s="24"/>
      <c r="M68" s="24">
        <v>43100</v>
      </c>
      <c r="N68" s="24">
        <v>43281</v>
      </c>
      <c r="O68" s="79">
        <v>43465</v>
      </c>
      <c r="P68" s="24">
        <v>43646</v>
      </c>
      <c r="Q68" s="24">
        <v>43830</v>
      </c>
      <c r="R68" s="24">
        <v>44012</v>
      </c>
      <c r="S68" s="24">
        <v>44196</v>
      </c>
      <c r="T68" s="24">
        <v>44377</v>
      </c>
      <c r="U68" s="24">
        <v>44561</v>
      </c>
      <c r="V68" s="24">
        <v>44742</v>
      </c>
      <c r="W68" s="24">
        <v>44926</v>
      </c>
      <c r="X68" s="24">
        <v>45107</v>
      </c>
      <c r="Y68" s="24">
        <v>45291</v>
      </c>
      <c r="Z68" s="24">
        <v>45473</v>
      </c>
      <c r="AA68" s="24">
        <v>45657</v>
      </c>
      <c r="AB68" s="24">
        <v>45838</v>
      </c>
      <c r="AC68" s="24">
        <v>46022</v>
      </c>
      <c r="AD68" s="24">
        <v>46203</v>
      </c>
      <c r="AE68" s="24"/>
      <c r="AF68" s="24"/>
      <c r="AG68" s="24"/>
      <c r="AH68" s="24"/>
      <c r="AI68" s="24"/>
      <c r="AJ68" s="24"/>
      <c r="AK68" s="24"/>
      <c r="AL68" s="2"/>
    </row>
    <row r="69" spans="1:40">
      <c r="A69" s="56" t="s">
        <v>5</v>
      </c>
      <c r="B69" s="57">
        <f>Data!F10</f>
        <v>2.5000000000000001E-3</v>
      </c>
      <c r="D69" s="2" t="s">
        <v>24</v>
      </c>
      <c r="E69" s="2"/>
      <c r="F69" t="s">
        <v>25</v>
      </c>
      <c r="M69">
        <v>1</v>
      </c>
      <c r="N69">
        <v>2</v>
      </c>
      <c r="O69" s="80">
        <v>3</v>
      </c>
      <c r="P69">
        <v>4</v>
      </c>
      <c r="Q69">
        <v>5</v>
      </c>
      <c r="R69">
        <v>6</v>
      </c>
      <c r="S69">
        <v>7</v>
      </c>
      <c r="T69">
        <v>8</v>
      </c>
      <c r="U69">
        <v>9</v>
      </c>
      <c r="V69">
        <v>10</v>
      </c>
      <c r="W69">
        <v>11</v>
      </c>
      <c r="X69">
        <v>12</v>
      </c>
      <c r="Y69">
        <v>13</v>
      </c>
      <c r="Z69">
        <v>14</v>
      </c>
      <c r="AA69">
        <v>15</v>
      </c>
      <c r="AB69">
        <v>16</v>
      </c>
      <c r="AC69">
        <v>17</v>
      </c>
      <c r="AD69">
        <v>18</v>
      </c>
    </row>
    <row r="70" spans="1:40">
      <c r="A70" s="56" t="s">
        <v>77</v>
      </c>
      <c r="B70" s="10">
        <f>Data!E10</f>
        <v>13</v>
      </c>
      <c r="D70" s="2" t="s">
        <v>28</v>
      </c>
      <c r="E70" s="2"/>
      <c r="F70" s="81"/>
      <c r="G70" s="81"/>
      <c r="H70" s="81"/>
      <c r="I70" s="81"/>
      <c r="J70" s="81"/>
      <c r="K70" s="81"/>
      <c r="L70" s="81"/>
      <c r="M70" s="27">
        <f>PMT($B$69,$B$72,$B$73)</f>
        <v>-3117261.5079381894</v>
      </c>
      <c r="N70" s="27">
        <f t="shared" ref="N70:AD70" si="20">PMT($B$69,$B$72,$B$73)</f>
        <v>-3117261.5079381894</v>
      </c>
      <c r="O70" s="82">
        <f t="shared" si="20"/>
        <v>-3117261.5079381894</v>
      </c>
      <c r="P70" s="27">
        <f t="shared" si="20"/>
        <v>-3117261.5079381894</v>
      </c>
      <c r="Q70" s="27">
        <f t="shared" si="20"/>
        <v>-3117261.5079381894</v>
      </c>
      <c r="R70" s="27">
        <f t="shared" si="20"/>
        <v>-3117261.5079381894</v>
      </c>
      <c r="S70" s="27">
        <f t="shared" si="20"/>
        <v>-3117261.5079381894</v>
      </c>
      <c r="T70" s="27">
        <f t="shared" si="20"/>
        <v>-3117261.5079381894</v>
      </c>
      <c r="U70" s="27">
        <f t="shared" si="20"/>
        <v>-3117261.5079381894</v>
      </c>
      <c r="V70" s="27">
        <f t="shared" si="20"/>
        <v>-3117261.5079381894</v>
      </c>
      <c r="W70" s="27">
        <f t="shared" si="20"/>
        <v>-3117261.5079381894</v>
      </c>
      <c r="X70" s="27">
        <f t="shared" si="20"/>
        <v>-3117261.5079381894</v>
      </c>
      <c r="Y70" s="27">
        <f t="shared" si="20"/>
        <v>-3117261.5079381894</v>
      </c>
      <c r="Z70" s="27">
        <f t="shared" si="20"/>
        <v>-3117261.5079381894</v>
      </c>
      <c r="AA70" s="27">
        <f t="shared" si="20"/>
        <v>-3117261.5079381894</v>
      </c>
      <c r="AB70" s="27">
        <f t="shared" si="20"/>
        <v>-3117261.5079381894</v>
      </c>
      <c r="AC70" s="27">
        <f t="shared" si="20"/>
        <v>-3117261.5079381894</v>
      </c>
      <c r="AD70" s="27">
        <f t="shared" si="20"/>
        <v>-3117261.5079381894</v>
      </c>
      <c r="AE70" s="27"/>
      <c r="AF70" s="27"/>
      <c r="AG70" s="27"/>
      <c r="AH70" s="27"/>
      <c r="AI70" s="27"/>
      <c r="AJ70" s="27"/>
      <c r="AK70" s="27"/>
    </row>
    <row r="71" spans="1:40">
      <c r="A71" s="56" t="s">
        <v>25</v>
      </c>
      <c r="B71" s="10">
        <f>Data!G10</f>
        <v>4</v>
      </c>
      <c r="E71" t="s">
        <v>29</v>
      </c>
      <c r="F71" s="81"/>
      <c r="G71" s="81"/>
      <c r="H71" s="81"/>
      <c r="I71" s="81"/>
      <c r="J71" s="81"/>
      <c r="K71" s="81"/>
      <c r="L71" s="81"/>
      <c r="M71" s="27">
        <f>PPMT($B$69, M69, $B$72,$B$73)</f>
        <v>-2980261.5079381894</v>
      </c>
      <c r="N71" s="27">
        <f t="shared" ref="N71:AD71" si="21">PPMT($B$69, N69, $B$72,$B$73)</f>
        <v>-2987712.161708035</v>
      </c>
      <c r="O71" s="82">
        <f t="shared" si="21"/>
        <v>-2995181.4421123052</v>
      </c>
      <c r="P71" s="27">
        <f t="shared" si="21"/>
        <v>-3002669.3957175859</v>
      </c>
      <c r="Q71" s="27">
        <f t="shared" si="21"/>
        <v>-3010176.0692068799</v>
      </c>
      <c r="R71" s="27">
        <f t="shared" si="21"/>
        <v>-3017701.5093798973</v>
      </c>
      <c r="S71" s="27">
        <f t="shared" si="21"/>
        <v>-3025245.7631533467</v>
      </c>
      <c r="T71" s="27">
        <f t="shared" si="21"/>
        <v>-3032808.8775612302</v>
      </c>
      <c r="U71" s="27">
        <f t="shared" si="21"/>
        <v>-3040390.8997551329</v>
      </c>
      <c r="V71" s="27">
        <f t="shared" si="21"/>
        <v>-3047991.877004521</v>
      </c>
      <c r="W71" s="27">
        <f t="shared" si="21"/>
        <v>-3055611.8566970327</v>
      </c>
      <c r="X71" s="27">
        <f t="shared" si="21"/>
        <v>-3063250.886338775</v>
      </c>
      <c r="Y71" s="27">
        <f t="shared" si="21"/>
        <v>-3070909.013554622</v>
      </c>
      <c r="Z71" s="27">
        <f t="shared" si="21"/>
        <v>-3078586.2860885086</v>
      </c>
      <c r="AA71" s="27">
        <f t="shared" si="21"/>
        <v>-3086282.7518037297</v>
      </c>
      <c r="AB71" s="27">
        <f t="shared" si="21"/>
        <v>-3093998.4586832388</v>
      </c>
      <c r="AC71" s="27">
        <f t="shared" si="21"/>
        <v>-3101733.4548299466</v>
      </c>
      <c r="AD71" s="27">
        <f t="shared" si="21"/>
        <v>-3109487.7884670221</v>
      </c>
      <c r="AE71" s="27"/>
      <c r="AF71" s="27"/>
      <c r="AG71" s="27"/>
      <c r="AH71" s="27"/>
      <c r="AI71" s="27"/>
      <c r="AJ71" s="27"/>
      <c r="AK71" s="27"/>
      <c r="AL71" s="27"/>
    </row>
    <row r="72" spans="1:40">
      <c r="A72" s="56" t="s">
        <v>12</v>
      </c>
      <c r="B72" s="10">
        <f>(B70-B71)*2</f>
        <v>18</v>
      </c>
      <c r="E72" t="s">
        <v>30</v>
      </c>
      <c r="F72" s="81"/>
      <c r="G72" s="81"/>
      <c r="H72" s="81"/>
      <c r="I72" s="81"/>
      <c r="J72" s="81"/>
      <c r="K72" s="81"/>
      <c r="L72" s="81"/>
      <c r="M72" s="27">
        <f>IPMT($B$69, M69, $B$72,$B$73)</f>
        <v>-137000</v>
      </c>
      <c r="N72" s="27">
        <f t="shared" ref="N72:AD72" si="22">IPMT($B$69, N69, $B$72,$B$73)</f>
        <v>-129549.34623015454</v>
      </c>
      <c r="O72" s="82">
        <f t="shared" si="22"/>
        <v>-122080.06582588446</v>
      </c>
      <c r="P72" s="27">
        <f t="shared" si="22"/>
        <v>-114592.11222060368</v>
      </c>
      <c r="Q72" s="27">
        <f t="shared" si="22"/>
        <v>-107085.43873130972</v>
      </c>
      <c r="R72" s="27">
        <f t="shared" si="22"/>
        <v>-99559.9985582925</v>
      </c>
      <c r="S72" s="27">
        <f t="shared" si="22"/>
        <v>-92015.744784842769</v>
      </c>
      <c r="T72" s="27">
        <f t="shared" si="22"/>
        <v>-84452.630376959409</v>
      </c>
      <c r="U72" s="27">
        <f t="shared" si="22"/>
        <v>-76870.608183056334</v>
      </c>
      <c r="V72" s="27">
        <f t="shared" si="22"/>
        <v>-69269.630933668479</v>
      </c>
      <c r="W72" s="27">
        <f t="shared" si="22"/>
        <v>-61649.651241157189</v>
      </c>
      <c r="X72" s="27">
        <f t="shared" si="22"/>
        <v>-54010.621599414611</v>
      </c>
      <c r="Y72" s="27">
        <f t="shared" si="22"/>
        <v>-46352.494383567675</v>
      </c>
      <c r="Z72" s="27">
        <f t="shared" si="22"/>
        <v>-38675.221849681118</v>
      </c>
      <c r="AA72" s="27">
        <f t="shared" si="22"/>
        <v>-30978.756134459847</v>
      </c>
      <c r="AB72" s="27">
        <f t="shared" si="22"/>
        <v>-23263.049254950522</v>
      </c>
      <c r="AC72" s="27">
        <f t="shared" si="22"/>
        <v>-15528.053108242422</v>
      </c>
      <c r="AD72" s="27">
        <f t="shared" si="22"/>
        <v>-7773.7194711675565</v>
      </c>
      <c r="AE72" s="27"/>
      <c r="AF72" s="27"/>
      <c r="AG72" s="27"/>
      <c r="AH72" s="27"/>
      <c r="AI72" s="27"/>
      <c r="AJ72" s="27"/>
      <c r="AK72" s="27"/>
      <c r="AL72" s="27"/>
    </row>
    <row r="73" spans="1:40">
      <c r="A73" s="56" t="s">
        <v>79</v>
      </c>
      <c r="B73" s="83">
        <f>Data!B10</f>
        <v>54800000</v>
      </c>
      <c r="D73" s="2" t="s">
        <v>31</v>
      </c>
      <c r="F73" s="27">
        <f>B73</f>
        <v>54800000</v>
      </c>
      <c r="G73" s="27"/>
      <c r="H73" s="27"/>
      <c r="I73" s="27"/>
      <c r="J73" s="27"/>
      <c r="K73" s="27"/>
      <c r="L73" s="27"/>
      <c r="M73" s="27">
        <f>F73+M71</f>
        <v>51819738.492061809</v>
      </c>
      <c r="N73" s="27">
        <f t="shared" ref="N73:AD73" si="23">M73+N71</f>
        <v>48832026.330353774</v>
      </c>
      <c r="O73" s="82">
        <f t="shared" si="23"/>
        <v>45836844.88824147</v>
      </c>
      <c r="P73" s="27">
        <f t="shared" si="23"/>
        <v>42834175.492523886</v>
      </c>
      <c r="Q73" s="27">
        <f t="shared" si="23"/>
        <v>39823999.423317008</v>
      </c>
      <c r="R73" s="27">
        <f t="shared" si="23"/>
        <v>36806297.913937107</v>
      </c>
      <c r="S73" s="27">
        <f t="shared" si="23"/>
        <v>33781052.150783762</v>
      </c>
      <c r="T73" s="27">
        <f t="shared" si="23"/>
        <v>30748243.273222532</v>
      </c>
      <c r="U73" s="27">
        <f t="shared" si="23"/>
        <v>27707852.373467401</v>
      </c>
      <c r="V73" s="27">
        <f t="shared" si="23"/>
        <v>24659860.496462882</v>
      </c>
      <c r="W73" s="27">
        <f t="shared" si="23"/>
        <v>21604248.639765847</v>
      </c>
      <c r="X73" s="27">
        <f t="shared" si="23"/>
        <v>18540997.753427073</v>
      </c>
      <c r="Y73" s="27">
        <f t="shared" si="23"/>
        <v>15470088.739872452</v>
      </c>
      <c r="Z73" s="27">
        <f t="shared" si="23"/>
        <v>12391502.453783944</v>
      </c>
      <c r="AA73" s="27">
        <f t="shared" si="23"/>
        <v>9305219.7019802146</v>
      </c>
      <c r="AB73" s="27">
        <f t="shared" si="23"/>
        <v>6211221.2432969753</v>
      </c>
      <c r="AC73" s="27">
        <f t="shared" si="23"/>
        <v>3109487.7884670286</v>
      </c>
      <c r="AD73" s="27">
        <f t="shared" si="23"/>
        <v>6.5192580223083496E-9</v>
      </c>
      <c r="AE73" s="27"/>
      <c r="AF73" s="27"/>
      <c r="AG73" s="27"/>
      <c r="AH73" s="27"/>
      <c r="AI73" s="27"/>
      <c r="AJ73" s="27"/>
      <c r="AK73" s="27"/>
      <c r="AL73" s="27"/>
    </row>
    <row r="74" spans="1:40">
      <c r="A74" s="59" t="s">
        <v>80</v>
      </c>
      <c r="B74" s="61">
        <f>O73</f>
        <v>45836844.88824147</v>
      </c>
      <c r="AM74" s="27"/>
    </row>
    <row r="79" spans="1:40">
      <c r="A79" s="340" t="s">
        <v>68</v>
      </c>
      <c r="B79" s="341"/>
    </row>
    <row r="80" spans="1:40">
      <c r="A80" s="56" t="s">
        <v>76</v>
      </c>
      <c r="B80" s="10">
        <f>Data!D11</f>
        <v>2014</v>
      </c>
      <c r="D80" s="2" t="s">
        <v>23</v>
      </c>
      <c r="E80" s="2"/>
      <c r="F80" s="24" t="s">
        <v>87</v>
      </c>
      <c r="G80" s="24"/>
      <c r="H80" s="24"/>
      <c r="I80" s="24"/>
      <c r="J80" s="24"/>
      <c r="K80" s="24"/>
      <c r="L80" s="24"/>
      <c r="M80" s="24"/>
      <c r="N80" s="24"/>
      <c r="O80" s="79">
        <v>43465</v>
      </c>
      <c r="P80" s="24">
        <v>43646</v>
      </c>
      <c r="Q80" s="24">
        <v>43830</v>
      </c>
      <c r="R80" s="24">
        <v>44012</v>
      </c>
      <c r="S80" s="24">
        <v>44196</v>
      </c>
      <c r="T80" s="24">
        <v>44377</v>
      </c>
      <c r="U80" s="24">
        <v>44561</v>
      </c>
      <c r="V80" s="24">
        <v>44742</v>
      </c>
      <c r="W80" s="24">
        <v>44926</v>
      </c>
      <c r="X80" s="24">
        <v>45107</v>
      </c>
      <c r="Y80" s="24">
        <v>45291</v>
      </c>
      <c r="Z80" s="24">
        <v>45473</v>
      </c>
      <c r="AA80" s="24">
        <v>45657</v>
      </c>
      <c r="AB80" s="24">
        <v>45838</v>
      </c>
      <c r="AC80" s="24">
        <v>46022</v>
      </c>
      <c r="AD80" s="24">
        <v>46203</v>
      </c>
      <c r="AE80" s="24">
        <v>46387</v>
      </c>
      <c r="AF80" s="24">
        <v>46568</v>
      </c>
      <c r="AG80" s="24">
        <v>46752</v>
      </c>
      <c r="AH80" s="24">
        <v>46934</v>
      </c>
      <c r="AI80" s="24">
        <v>47118</v>
      </c>
      <c r="AJ80" s="24">
        <v>47299</v>
      </c>
      <c r="AK80" s="24">
        <v>47483</v>
      </c>
      <c r="AL80" s="24">
        <v>47664</v>
      </c>
      <c r="AM80" s="24">
        <v>47848</v>
      </c>
      <c r="AN80" s="2"/>
    </row>
    <row r="81" spans="1:40">
      <c r="A81" s="56" t="s">
        <v>5</v>
      </c>
      <c r="B81" s="57">
        <f>Data!F11</f>
        <v>2.5000000000000001E-3</v>
      </c>
      <c r="D81" s="2" t="s">
        <v>24</v>
      </c>
      <c r="E81" s="2"/>
      <c r="F81" t="s">
        <v>25</v>
      </c>
      <c r="O81" s="80">
        <v>1</v>
      </c>
      <c r="P81">
        <v>2</v>
      </c>
      <c r="Q81">
        <v>3</v>
      </c>
      <c r="R81">
        <v>4</v>
      </c>
      <c r="S81">
        <v>5</v>
      </c>
      <c r="T81">
        <v>6</v>
      </c>
      <c r="U81">
        <v>7</v>
      </c>
      <c r="V81">
        <v>8</v>
      </c>
      <c r="W81">
        <v>9</v>
      </c>
      <c r="X81">
        <v>10</v>
      </c>
      <c r="Y81">
        <v>11</v>
      </c>
      <c r="Z81">
        <v>12</v>
      </c>
      <c r="AA81">
        <v>13</v>
      </c>
      <c r="AB81">
        <v>14</v>
      </c>
      <c r="AC81">
        <v>15</v>
      </c>
      <c r="AD81">
        <v>16</v>
      </c>
      <c r="AE81">
        <v>17</v>
      </c>
      <c r="AF81">
        <v>18</v>
      </c>
      <c r="AG81">
        <v>19</v>
      </c>
      <c r="AH81">
        <v>20</v>
      </c>
      <c r="AI81">
        <v>21</v>
      </c>
      <c r="AJ81">
        <v>22</v>
      </c>
      <c r="AK81">
        <v>23</v>
      </c>
      <c r="AL81">
        <v>24</v>
      </c>
      <c r="AM81">
        <v>25</v>
      </c>
    </row>
    <row r="82" spans="1:40">
      <c r="A82" s="56" t="s">
        <v>77</v>
      </c>
      <c r="B82" s="10">
        <f>Data!E11</f>
        <v>16.5</v>
      </c>
      <c r="D82" s="2" t="s">
        <v>28</v>
      </c>
      <c r="E82" s="2"/>
      <c r="F82" s="81"/>
      <c r="G82" s="81"/>
      <c r="H82" s="81"/>
      <c r="I82" s="81"/>
      <c r="J82" s="81"/>
      <c r="K82" s="81"/>
      <c r="L82" s="81"/>
      <c r="M82" s="81"/>
      <c r="N82" s="81"/>
      <c r="O82" s="82">
        <f>PMT($B$81,$B$84,$B$85)</f>
        <v>-13554789.700176978</v>
      </c>
      <c r="P82" s="27">
        <f t="shared" ref="P82:AM82" si="24">PMT($B$81,$B$84,$B$85)</f>
        <v>-13554789.700176978</v>
      </c>
      <c r="Q82" s="27">
        <f t="shared" si="24"/>
        <v>-13554789.700176978</v>
      </c>
      <c r="R82" s="27">
        <f t="shared" si="24"/>
        <v>-13554789.700176978</v>
      </c>
      <c r="S82" s="27">
        <f t="shared" si="24"/>
        <v>-13554789.700176978</v>
      </c>
      <c r="T82" s="27">
        <f t="shared" si="24"/>
        <v>-13554789.700176978</v>
      </c>
      <c r="U82" s="27">
        <f t="shared" si="24"/>
        <v>-13554789.700176978</v>
      </c>
      <c r="V82" s="27">
        <f t="shared" si="24"/>
        <v>-13554789.700176978</v>
      </c>
      <c r="W82" s="27">
        <f t="shared" si="24"/>
        <v>-13554789.700176978</v>
      </c>
      <c r="X82" s="27">
        <f t="shared" si="24"/>
        <v>-13554789.700176978</v>
      </c>
      <c r="Y82" s="27">
        <f t="shared" si="24"/>
        <v>-13554789.700176978</v>
      </c>
      <c r="Z82" s="27">
        <f t="shared" si="24"/>
        <v>-13554789.700176978</v>
      </c>
      <c r="AA82" s="27">
        <f t="shared" si="24"/>
        <v>-13554789.700176978</v>
      </c>
      <c r="AB82" s="27">
        <f t="shared" si="24"/>
        <v>-13554789.700176978</v>
      </c>
      <c r="AC82" s="27">
        <f t="shared" si="24"/>
        <v>-13554789.700176978</v>
      </c>
      <c r="AD82" s="27">
        <f t="shared" si="24"/>
        <v>-13554789.700176978</v>
      </c>
      <c r="AE82" s="27">
        <f t="shared" si="24"/>
        <v>-13554789.700176978</v>
      </c>
      <c r="AF82" s="27">
        <f t="shared" si="24"/>
        <v>-13554789.700176978</v>
      </c>
      <c r="AG82" s="27">
        <f t="shared" si="24"/>
        <v>-13554789.700176978</v>
      </c>
      <c r="AH82" s="27">
        <f t="shared" si="24"/>
        <v>-13554789.700176978</v>
      </c>
      <c r="AI82" s="27">
        <f t="shared" si="24"/>
        <v>-13554789.700176978</v>
      </c>
      <c r="AJ82" s="27">
        <f t="shared" si="24"/>
        <v>-13554789.700176978</v>
      </c>
      <c r="AK82" s="27">
        <f t="shared" si="24"/>
        <v>-13554789.700176978</v>
      </c>
      <c r="AL82" s="27">
        <f t="shared" si="24"/>
        <v>-13554789.700176978</v>
      </c>
      <c r="AM82" s="27">
        <f t="shared" si="24"/>
        <v>-13554789.700176978</v>
      </c>
    </row>
    <row r="83" spans="1:40">
      <c r="A83" s="56" t="s">
        <v>25</v>
      </c>
      <c r="B83" s="10">
        <f>Data!G11</f>
        <v>4</v>
      </c>
      <c r="E83" t="s">
        <v>29</v>
      </c>
      <c r="F83" s="81"/>
      <c r="G83" s="81"/>
      <c r="H83" s="81"/>
      <c r="I83" s="81"/>
      <c r="J83" s="81"/>
      <c r="K83" s="81"/>
      <c r="L83" s="81"/>
      <c r="M83" s="81"/>
      <c r="N83" s="81"/>
      <c r="O83" s="82">
        <f>PPMT($B$81, O81, $B$84,$B$85)</f>
        <v>-12734539.700176978</v>
      </c>
      <c r="P83" s="27">
        <f t="shared" ref="P83:AM83" si="25">PPMT($B$81, P81, $B$84,$B$85)</f>
        <v>-12766376.049427422</v>
      </c>
      <c r="Q83" s="27">
        <f t="shared" si="25"/>
        <v>-12798291.989550989</v>
      </c>
      <c r="R83" s="27">
        <f t="shared" si="25"/>
        <v>-12830287.719524868</v>
      </c>
      <c r="S83" s="27">
        <f t="shared" si="25"/>
        <v>-12862363.438823679</v>
      </c>
      <c r="T83" s="27">
        <f t="shared" si="25"/>
        <v>-12894519.347420737</v>
      </c>
      <c r="U83" s="27">
        <f t="shared" si="25"/>
        <v>-12926755.64578929</v>
      </c>
      <c r="V83" s="27">
        <f t="shared" si="25"/>
        <v>-12959072.534903763</v>
      </c>
      <c r="W83" s="27">
        <f t="shared" si="25"/>
        <v>-12991470.216241024</v>
      </c>
      <c r="X83" s="27">
        <f t="shared" si="25"/>
        <v>-13023948.891781626</v>
      </c>
      <c r="Y83" s="27">
        <f t="shared" si="25"/>
        <v>-13056508.764011078</v>
      </c>
      <c r="Z83" s="27">
        <f t="shared" si="25"/>
        <v>-13089150.035921106</v>
      </c>
      <c r="AA83" s="27">
        <f t="shared" si="25"/>
        <v>-13121872.91101091</v>
      </c>
      <c r="AB83" s="27">
        <f t="shared" si="25"/>
        <v>-13154677.593288437</v>
      </c>
      <c r="AC83" s="27">
        <f t="shared" si="25"/>
        <v>-13187564.287271658</v>
      </c>
      <c r="AD83" s="27">
        <f t="shared" si="25"/>
        <v>-13220533.197989836</v>
      </c>
      <c r="AE83" s="27">
        <f t="shared" si="25"/>
        <v>-13253584.530984811</v>
      </c>
      <c r="AF83" s="27">
        <f t="shared" si="25"/>
        <v>-13286718.492312275</v>
      </c>
      <c r="AG83" s="27">
        <f t="shared" si="25"/>
        <v>-13319935.288543055</v>
      </c>
      <c r="AH83" s="27">
        <f t="shared" si="25"/>
        <v>-13353235.126764413</v>
      </c>
      <c r="AI83" s="27">
        <f t="shared" si="25"/>
        <v>-13386618.214581324</v>
      </c>
      <c r="AJ83" s="27">
        <f t="shared" si="25"/>
        <v>-13420084.760117777</v>
      </c>
      <c r="AK83" s="27">
        <f t="shared" si="25"/>
        <v>-13453634.972018071</v>
      </c>
      <c r="AL83" s="27">
        <f t="shared" si="25"/>
        <v>-13487269.059448116</v>
      </c>
      <c r="AM83" s="27">
        <f t="shared" si="25"/>
        <v>-13520987.232096737</v>
      </c>
      <c r="AN83" s="27"/>
    </row>
    <row r="84" spans="1:40">
      <c r="A84" s="56" t="s">
        <v>12</v>
      </c>
      <c r="B84" s="10">
        <f>(B82-B83)*2</f>
        <v>25</v>
      </c>
      <c r="E84" t="s">
        <v>30</v>
      </c>
      <c r="F84" s="81"/>
      <c r="G84" s="81"/>
      <c r="H84" s="81"/>
      <c r="I84" s="81"/>
      <c r="J84" s="81"/>
      <c r="K84" s="81"/>
      <c r="L84" s="81"/>
      <c r="M84" s="81"/>
      <c r="N84" s="81"/>
      <c r="O84" s="82">
        <f>IPMT($B$81, O81, $B$84,$B$85)</f>
        <v>-820250</v>
      </c>
      <c r="P84" s="27">
        <f t="shared" ref="P84:AM84" si="26">IPMT($B$81, P81, $B$84,$B$85)</f>
        <v>-788413.65074955765</v>
      </c>
      <c r="Q84" s="27">
        <f t="shared" si="26"/>
        <v>-756497.71062598913</v>
      </c>
      <c r="R84" s="27">
        <f t="shared" si="26"/>
        <v>-724501.98065211147</v>
      </c>
      <c r="S84" s="27">
        <f t="shared" si="26"/>
        <v>-692426.26135329949</v>
      </c>
      <c r="T84" s="27">
        <f t="shared" si="26"/>
        <v>-660270.35275624029</v>
      </c>
      <c r="U84" s="27">
        <f t="shared" si="26"/>
        <v>-628034.0543876884</v>
      </c>
      <c r="V84" s="27">
        <f t="shared" si="26"/>
        <v>-595717.16527321504</v>
      </c>
      <c r="W84" s="27">
        <f t="shared" si="26"/>
        <v>-563319.48393595568</v>
      </c>
      <c r="X84" s="27">
        <f t="shared" si="26"/>
        <v>-530840.80839535315</v>
      </c>
      <c r="Y84" s="27">
        <f t="shared" si="26"/>
        <v>-498280.93616589904</v>
      </c>
      <c r="Z84" s="27">
        <f t="shared" si="26"/>
        <v>-465639.66425587144</v>
      </c>
      <c r="AA84" s="27">
        <f t="shared" si="26"/>
        <v>-432916.78916606854</v>
      </c>
      <c r="AB84" s="27">
        <f t="shared" si="26"/>
        <v>-400112.10688854131</v>
      </c>
      <c r="AC84" s="27">
        <f t="shared" si="26"/>
        <v>-367225.41290532018</v>
      </c>
      <c r="AD84" s="27">
        <f t="shared" si="26"/>
        <v>-334256.5021871411</v>
      </c>
      <c r="AE84" s="27">
        <f t="shared" si="26"/>
        <v>-301205.16919216636</v>
      </c>
      <c r="AF84" s="27">
        <f t="shared" si="26"/>
        <v>-268071.20786470443</v>
      </c>
      <c r="AG84" s="27">
        <f t="shared" si="26"/>
        <v>-234854.41163392377</v>
      </c>
      <c r="AH84" s="27">
        <f t="shared" si="26"/>
        <v>-201554.57341256613</v>
      </c>
      <c r="AI84" s="27">
        <f t="shared" si="26"/>
        <v>-168171.48559565507</v>
      </c>
      <c r="AJ84" s="27">
        <f t="shared" si="26"/>
        <v>-134704.94005920176</v>
      </c>
      <c r="AK84" s="27">
        <f t="shared" si="26"/>
        <v>-101154.72815890731</v>
      </c>
      <c r="AL84" s="27">
        <f t="shared" si="26"/>
        <v>-67520.640728862127</v>
      </c>
      <c r="AM84" s="27">
        <f t="shared" si="26"/>
        <v>-33802.468080241852</v>
      </c>
      <c r="AN84" s="27"/>
    </row>
    <row r="85" spans="1:40">
      <c r="A85" s="56" t="s">
        <v>79</v>
      </c>
      <c r="B85" s="83">
        <f>Data!B11</f>
        <v>328100000</v>
      </c>
      <c r="D85" s="2" t="s">
        <v>31</v>
      </c>
      <c r="F85" s="27">
        <f>B85</f>
        <v>328100000</v>
      </c>
      <c r="G85" s="27"/>
      <c r="H85" s="27"/>
      <c r="I85" s="27"/>
      <c r="J85" s="27"/>
      <c r="K85" s="27"/>
      <c r="L85" s="27"/>
      <c r="M85" s="27"/>
      <c r="N85" s="27"/>
      <c r="O85" s="82">
        <f>F85+O83</f>
        <v>315365460.29982305</v>
      </c>
      <c r="P85" s="27">
        <f t="shared" ref="P85:AM85" si="27">O85+P83</f>
        <v>302599084.2503956</v>
      </c>
      <c r="Q85" s="27">
        <f t="shared" si="27"/>
        <v>289800792.26084459</v>
      </c>
      <c r="R85" s="27">
        <f t="shared" si="27"/>
        <v>276970504.54131973</v>
      </c>
      <c r="S85" s="27">
        <f t="shared" si="27"/>
        <v>264108141.10249606</v>
      </c>
      <c r="T85" s="27">
        <f t="shared" si="27"/>
        <v>251213621.75507534</v>
      </c>
      <c r="U85" s="27">
        <f t="shared" si="27"/>
        <v>238286866.10928604</v>
      </c>
      <c r="V85" s="27">
        <f t="shared" si="27"/>
        <v>225327793.57438228</v>
      </c>
      <c r="W85" s="27">
        <f t="shared" si="27"/>
        <v>212336323.35814124</v>
      </c>
      <c r="X85" s="27">
        <f t="shared" si="27"/>
        <v>199312374.46635962</v>
      </c>
      <c r="Y85" s="27">
        <f t="shared" si="27"/>
        <v>186255865.70234853</v>
      </c>
      <c r="Z85" s="27">
        <f t="shared" si="27"/>
        <v>173166715.66642743</v>
      </c>
      <c r="AA85" s="27">
        <f t="shared" si="27"/>
        <v>160044842.75541651</v>
      </c>
      <c r="AB85" s="27">
        <f t="shared" si="27"/>
        <v>146890165.16212809</v>
      </c>
      <c r="AC85" s="27">
        <f t="shared" si="27"/>
        <v>133702600.87485643</v>
      </c>
      <c r="AD85" s="27">
        <f t="shared" si="27"/>
        <v>120482067.67686659</v>
      </c>
      <c r="AE85" s="27">
        <f t="shared" si="27"/>
        <v>107228483.14588177</v>
      </c>
      <c r="AF85" s="27">
        <f t="shared" si="27"/>
        <v>93941764.65356949</v>
      </c>
      <c r="AG85" s="27">
        <f t="shared" si="27"/>
        <v>80621829.365026429</v>
      </c>
      <c r="AH85" s="27">
        <f t="shared" si="27"/>
        <v>67268594.238262013</v>
      </c>
      <c r="AI85" s="27">
        <f t="shared" si="27"/>
        <v>53881976.023680687</v>
      </c>
      <c r="AJ85" s="27">
        <f t="shared" si="27"/>
        <v>40461891.26356291</v>
      </c>
      <c r="AK85" s="27">
        <f t="shared" si="27"/>
        <v>27008256.29154484</v>
      </c>
      <c r="AL85" s="27">
        <f t="shared" si="27"/>
        <v>13520987.232096724</v>
      </c>
      <c r="AM85" s="27">
        <f t="shared" si="27"/>
        <v>0</v>
      </c>
      <c r="AN85" s="27"/>
    </row>
    <row r="86" spans="1:40">
      <c r="A86" s="59" t="s">
        <v>80</v>
      </c>
      <c r="B86" s="61">
        <f>O85</f>
        <v>315365460.29982305</v>
      </c>
      <c r="AM86" s="27"/>
    </row>
    <row r="91" spans="1:40">
      <c r="A91" s="340" t="s">
        <v>69</v>
      </c>
      <c r="B91" s="341"/>
    </row>
    <row r="92" spans="1:40">
      <c r="A92" s="56" t="s">
        <v>76</v>
      </c>
      <c r="B92" s="10">
        <f>Data!D12</f>
        <v>2014</v>
      </c>
      <c r="D92" s="2" t="s">
        <v>23</v>
      </c>
      <c r="E92" s="2"/>
      <c r="F92" s="24" t="s">
        <v>87</v>
      </c>
      <c r="G92" s="24"/>
      <c r="H92" s="24"/>
      <c r="I92" s="24"/>
      <c r="J92" s="24"/>
      <c r="K92" s="24"/>
      <c r="L92" s="24"/>
      <c r="M92" s="24"/>
      <c r="N92" s="24"/>
      <c r="O92" s="79">
        <v>43465</v>
      </c>
      <c r="P92" s="24">
        <v>43646</v>
      </c>
      <c r="Q92" s="24">
        <v>43830</v>
      </c>
      <c r="R92" s="24">
        <v>44012</v>
      </c>
      <c r="S92" s="24">
        <v>44196</v>
      </c>
      <c r="T92" s="24">
        <v>44377</v>
      </c>
      <c r="U92" s="24">
        <v>44561</v>
      </c>
      <c r="V92" s="24">
        <v>44742</v>
      </c>
      <c r="W92" s="24">
        <v>44926</v>
      </c>
      <c r="X92" s="24">
        <v>45107</v>
      </c>
      <c r="Y92" s="24">
        <v>45291</v>
      </c>
      <c r="Z92" s="24">
        <v>45473</v>
      </c>
      <c r="AA92" s="24">
        <v>45657</v>
      </c>
      <c r="AB92" s="24">
        <v>45838</v>
      </c>
      <c r="AC92" s="24">
        <v>46022</v>
      </c>
      <c r="AD92" s="24">
        <v>46203</v>
      </c>
      <c r="AE92" s="24">
        <v>46387</v>
      </c>
      <c r="AF92" s="24">
        <v>46568</v>
      </c>
      <c r="AG92" s="24">
        <v>46752</v>
      </c>
      <c r="AH92" s="24">
        <v>46934</v>
      </c>
      <c r="AI92" s="24"/>
      <c r="AJ92" s="24"/>
      <c r="AK92" s="24"/>
      <c r="AL92" s="24"/>
      <c r="AM92" s="24"/>
      <c r="AN92" s="2"/>
    </row>
    <row r="93" spans="1:40">
      <c r="A93" s="56" t="s">
        <v>5</v>
      </c>
      <c r="B93" s="57">
        <f>Data!F12</f>
        <v>2.5000000000000001E-3</v>
      </c>
      <c r="D93" s="2" t="s">
        <v>24</v>
      </c>
      <c r="E93" s="2"/>
      <c r="F93" t="s">
        <v>25</v>
      </c>
      <c r="O93" s="80">
        <v>1</v>
      </c>
      <c r="P93">
        <v>2</v>
      </c>
      <c r="Q93">
        <v>3</v>
      </c>
      <c r="R93">
        <v>4</v>
      </c>
      <c r="S93">
        <v>5</v>
      </c>
      <c r="T93">
        <v>6</v>
      </c>
      <c r="U93">
        <v>7</v>
      </c>
      <c r="V93">
        <v>8</v>
      </c>
      <c r="W93">
        <v>9</v>
      </c>
      <c r="X93">
        <v>10</v>
      </c>
      <c r="Y93">
        <v>11</v>
      </c>
      <c r="Z93">
        <v>12</v>
      </c>
      <c r="AA93">
        <v>13</v>
      </c>
      <c r="AB93">
        <v>14</v>
      </c>
      <c r="AC93">
        <v>15</v>
      </c>
      <c r="AD93">
        <v>16</v>
      </c>
      <c r="AE93">
        <v>17</v>
      </c>
      <c r="AF93">
        <v>18</v>
      </c>
      <c r="AG93">
        <v>19</v>
      </c>
      <c r="AH93">
        <v>20</v>
      </c>
    </row>
    <row r="94" spans="1:40">
      <c r="A94" s="56" t="s">
        <v>77</v>
      </c>
      <c r="B94" s="10">
        <f>Data!E12</f>
        <v>14</v>
      </c>
      <c r="D94" s="2" t="s">
        <v>28</v>
      </c>
      <c r="E94" s="2"/>
      <c r="F94" s="81"/>
      <c r="G94" s="81"/>
      <c r="H94" s="81"/>
      <c r="I94" s="81"/>
      <c r="J94" s="81"/>
      <c r="K94" s="81"/>
      <c r="L94" s="81"/>
      <c r="M94" s="81"/>
      <c r="N94" s="81"/>
      <c r="O94" s="82">
        <f>PMT($B$93,$B$96,$B$97)</f>
        <v>-984960.86325010448</v>
      </c>
      <c r="P94" s="27">
        <f t="shared" ref="P94:AH94" si="28">PMT($B$93,$B$96,$B$97)</f>
        <v>-984960.86325010448</v>
      </c>
      <c r="Q94" s="27">
        <f t="shared" si="28"/>
        <v>-984960.86325010448</v>
      </c>
      <c r="R94" s="27">
        <f t="shared" si="28"/>
        <v>-984960.86325010448</v>
      </c>
      <c r="S94" s="27">
        <f t="shared" si="28"/>
        <v>-984960.86325010448</v>
      </c>
      <c r="T94" s="27">
        <f t="shared" si="28"/>
        <v>-984960.86325010448</v>
      </c>
      <c r="U94" s="27">
        <f t="shared" si="28"/>
        <v>-984960.86325010448</v>
      </c>
      <c r="V94" s="27">
        <f t="shared" si="28"/>
        <v>-984960.86325010448</v>
      </c>
      <c r="W94" s="27">
        <f t="shared" si="28"/>
        <v>-984960.86325010448</v>
      </c>
      <c r="X94" s="27">
        <f t="shared" si="28"/>
        <v>-984960.86325010448</v>
      </c>
      <c r="Y94" s="27">
        <f t="shared" si="28"/>
        <v>-984960.86325010448</v>
      </c>
      <c r="Z94" s="27">
        <f t="shared" si="28"/>
        <v>-984960.86325010448</v>
      </c>
      <c r="AA94" s="27">
        <f t="shared" si="28"/>
        <v>-984960.86325010448</v>
      </c>
      <c r="AB94" s="27">
        <f t="shared" si="28"/>
        <v>-984960.86325010448</v>
      </c>
      <c r="AC94" s="27">
        <f t="shared" si="28"/>
        <v>-984960.86325010448</v>
      </c>
      <c r="AD94" s="27">
        <f t="shared" si="28"/>
        <v>-984960.86325010448</v>
      </c>
      <c r="AE94" s="27">
        <f t="shared" si="28"/>
        <v>-984960.86325010448</v>
      </c>
      <c r="AF94" s="27">
        <f t="shared" si="28"/>
        <v>-984960.86325010448</v>
      </c>
      <c r="AG94" s="27">
        <f t="shared" si="28"/>
        <v>-984960.86325010448</v>
      </c>
      <c r="AH94" s="27">
        <f t="shared" si="28"/>
        <v>-984960.86325010448</v>
      </c>
      <c r="AI94" s="27"/>
      <c r="AJ94" s="27"/>
      <c r="AK94" s="27"/>
      <c r="AL94" s="27"/>
      <c r="AM94" s="27"/>
    </row>
    <row r="95" spans="1:40">
      <c r="A95" s="56" t="s">
        <v>25</v>
      </c>
      <c r="B95" s="10">
        <f>Data!G12</f>
        <v>4</v>
      </c>
      <c r="E95" t="s">
        <v>29</v>
      </c>
      <c r="F95" s="81"/>
      <c r="G95" s="81"/>
      <c r="H95" s="81"/>
      <c r="I95" s="81"/>
      <c r="J95" s="81"/>
      <c r="K95" s="81"/>
      <c r="L95" s="81"/>
      <c r="M95" s="81"/>
      <c r="N95" s="81"/>
      <c r="O95" s="82">
        <f>PPMT($B$93, O93, $B$96,$B$97)</f>
        <v>-936982.21725010441</v>
      </c>
      <c r="P95" s="27">
        <f t="shared" ref="P95:AH95" si="29">PPMT($B$93, P93, $B$96,$B$97)</f>
        <v>-939324.67279322969</v>
      </c>
      <c r="Q95" s="27">
        <f t="shared" si="29"/>
        <v>-941672.98447521287</v>
      </c>
      <c r="R95" s="27">
        <f t="shared" si="29"/>
        <v>-944027.16693640104</v>
      </c>
      <c r="S95" s="27">
        <f t="shared" si="29"/>
        <v>-946387.23485374195</v>
      </c>
      <c r="T95" s="27">
        <f t="shared" si="29"/>
        <v>-948753.20294087625</v>
      </c>
      <c r="U95" s="27">
        <f t="shared" si="29"/>
        <v>-951125.08594822837</v>
      </c>
      <c r="V95" s="27">
        <f t="shared" si="29"/>
        <v>-953502.89866309892</v>
      </c>
      <c r="W95" s="27">
        <f t="shared" si="29"/>
        <v>-955886.65590975678</v>
      </c>
      <c r="X95" s="27">
        <f t="shared" si="29"/>
        <v>-958276.37254953117</v>
      </c>
      <c r="Y95" s="27">
        <f t="shared" si="29"/>
        <v>-960672.06348090491</v>
      </c>
      <c r="Z95" s="27">
        <f t="shared" si="29"/>
        <v>-963073.7436396071</v>
      </c>
      <c r="AA95" s="27">
        <f t="shared" si="29"/>
        <v>-965481.42799870623</v>
      </c>
      <c r="AB95" s="27">
        <f t="shared" si="29"/>
        <v>-967895.1315687031</v>
      </c>
      <c r="AC95" s="27">
        <f t="shared" si="29"/>
        <v>-970314.86939762475</v>
      </c>
      <c r="AD95" s="27">
        <f t="shared" si="29"/>
        <v>-972740.65657111886</v>
      </c>
      <c r="AE95" s="27">
        <f t="shared" si="29"/>
        <v>-975172.50821254659</v>
      </c>
      <c r="AF95" s="27">
        <f t="shared" si="29"/>
        <v>-977610.43948307796</v>
      </c>
      <c r="AG95" s="27">
        <f t="shared" si="29"/>
        <v>-980054.46558178565</v>
      </c>
      <c r="AH95" s="27">
        <f t="shared" si="29"/>
        <v>-982504.60174574016</v>
      </c>
      <c r="AI95" s="27"/>
      <c r="AJ95" s="27"/>
      <c r="AK95" s="27"/>
      <c r="AL95" s="27"/>
      <c r="AM95" s="27"/>
      <c r="AN95" s="27"/>
    </row>
    <row r="96" spans="1:40">
      <c r="A96" s="56" t="s">
        <v>12</v>
      </c>
      <c r="B96" s="10">
        <f>(B94-B95)*2</f>
        <v>20</v>
      </c>
      <c r="E96" t="s">
        <v>30</v>
      </c>
      <c r="F96" s="81"/>
      <c r="G96" s="81"/>
      <c r="H96" s="81"/>
      <c r="I96" s="81"/>
      <c r="J96" s="81"/>
      <c r="K96" s="81"/>
      <c r="L96" s="81"/>
      <c r="M96" s="81"/>
      <c r="N96" s="81"/>
      <c r="O96" s="82">
        <f>IPMT($B$93, O93, $B$96,$B$97)</f>
        <v>-47978.646000000001</v>
      </c>
      <c r="P96" s="27">
        <f t="shared" ref="P96:AH96" si="30">IPMT($B$93, P93, $B$96,$B$97)</f>
        <v>-45636.190456874734</v>
      </c>
      <c r="Q96" s="27">
        <f t="shared" si="30"/>
        <v>-43287.878774891658</v>
      </c>
      <c r="R96" s="27">
        <f t="shared" si="30"/>
        <v>-40933.696313703629</v>
      </c>
      <c r="S96" s="27">
        <f t="shared" si="30"/>
        <v>-38573.628396362627</v>
      </c>
      <c r="T96" s="27">
        <f t="shared" si="30"/>
        <v>-36207.660309228268</v>
      </c>
      <c r="U96" s="27">
        <f t="shared" si="30"/>
        <v>-33835.777301876078</v>
      </c>
      <c r="V96" s="27">
        <f t="shared" si="30"/>
        <v>-31457.964587005506</v>
      </c>
      <c r="W96" s="27">
        <f t="shared" si="30"/>
        <v>-29074.207340347763</v>
      </c>
      <c r="X96" s="27">
        <f t="shared" si="30"/>
        <v>-26684.490700573369</v>
      </c>
      <c r="Y96" s="27">
        <f t="shared" si="30"/>
        <v>-24288.799769199541</v>
      </c>
      <c r="Z96" s="27">
        <f t="shared" si="30"/>
        <v>-21887.119610497273</v>
      </c>
      <c r="AA96" s="27">
        <f t="shared" si="30"/>
        <v>-19479.435251398259</v>
      </c>
      <c r="AB96" s="27">
        <f t="shared" si="30"/>
        <v>-17065.731681401496</v>
      </c>
      <c r="AC96" s="27">
        <f t="shared" si="30"/>
        <v>-14645.993852479738</v>
      </c>
      <c r="AD96" s="27">
        <f t="shared" si="30"/>
        <v>-12220.206678985674</v>
      </c>
      <c r="AE96" s="27">
        <f t="shared" si="30"/>
        <v>-9788.3550375578761</v>
      </c>
      <c r="AF96" s="27">
        <f t="shared" si="30"/>
        <v>-7350.4237670265102</v>
      </c>
      <c r="AG96" s="27">
        <f t="shared" si="30"/>
        <v>-4906.3976683188148</v>
      </c>
      <c r="AH96" s="27">
        <f t="shared" si="30"/>
        <v>-2456.2615043643509</v>
      </c>
      <c r="AI96" s="27"/>
      <c r="AJ96" s="27"/>
      <c r="AK96" s="27"/>
      <c r="AL96" s="27"/>
      <c r="AM96" s="27"/>
      <c r="AN96" s="27"/>
    </row>
    <row r="97" spans="1:40">
      <c r="A97" s="56" t="s">
        <v>79</v>
      </c>
      <c r="B97" s="83">
        <f>Data!B12</f>
        <v>19191458.399999999</v>
      </c>
      <c r="D97" s="2" t="s">
        <v>31</v>
      </c>
      <c r="F97" s="27">
        <f>B97</f>
        <v>19191458.399999999</v>
      </c>
      <c r="G97" s="27"/>
      <c r="H97" s="27"/>
      <c r="I97" s="27"/>
      <c r="J97" s="27"/>
      <c r="K97" s="27"/>
      <c r="L97" s="27"/>
      <c r="M97" s="27"/>
      <c r="N97" s="27"/>
      <c r="O97" s="82">
        <f>F97+O95</f>
        <v>18254476.182749894</v>
      </c>
      <c r="P97" s="27">
        <f t="shared" ref="P97:AH97" si="31">O97+P95</f>
        <v>17315151.509956665</v>
      </c>
      <c r="Q97" s="27">
        <f t="shared" si="31"/>
        <v>16373478.525481453</v>
      </c>
      <c r="R97" s="27">
        <f t="shared" si="31"/>
        <v>15429451.358545052</v>
      </c>
      <c r="S97" s="27">
        <f t="shared" si="31"/>
        <v>14483064.123691309</v>
      </c>
      <c r="T97" s="27">
        <f t="shared" si="31"/>
        <v>13534310.920750434</v>
      </c>
      <c r="U97" s="27">
        <f t="shared" si="31"/>
        <v>12583185.834802205</v>
      </c>
      <c r="V97" s="27">
        <f t="shared" si="31"/>
        <v>11629682.936139107</v>
      </c>
      <c r="W97" s="27">
        <f t="shared" si="31"/>
        <v>10673796.280229351</v>
      </c>
      <c r="X97" s="27">
        <f t="shared" si="31"/>
        <v>9715519.9076798186</v>
      </c>
      <c r="Y97" s="27">
        <f t="shared" si="31"/>
        <v>8754847.8441989142</v>
      </c>
      <c r="Z97" s="27">
        <f t="shared" si="31"/>
        <v>7791774.1005593073</v>
      </c>
      <c r="AA97" s="27">
        <f t="shared" si="31"/>
        <v>6826292.6725606006</v>
      </c>
      <c r="AB97" s="27">
        <f t="shared" si="31"/>
        <v>5858397.5409918977</v>
      </c>
      <c r="AC97" s="27">
        <f t="shared" si="31"/>
        <v>4888082.6715942733</v>
      </c>
      <c r="AD97" s="27">
        <f t="shared" si="31"/>
        <v>3915342.0150231542</v>
      </c>
      <c r="AE97" s="27">
        <f t="shared" si="31"/>
        <v>2940169.5068106074</v>
      </c>
      <c r="AF97" s="27">
        <f t="shared" si="31"/>
        <v>1962559.0673275294</v>
      </c>
      <c r="AG97" s="27">
        <f t="shared" si="31"/>
        <v>982504.60174574377</v>
      </c>
      <c r="AH97" s="27">
        <f t="shared" si="31"/>
        <v>3.6088749766349792E-9</v>
      </c>
      <c r="AI97" s="27"/>
      <c r="AJ97" s="27"/>
      <c r="AK97" s="27"/>
      <c r="AL97" s="27"/>
      <c r="AM97" s="27"/>
      <c r="AN97" s="27"/>
    </row>
    <row r="98" spans="1:40">
      <c r="A98" s="59" t="s">
        <v>80</v>
      </c>
      <c r="B98" s="61">
        <f>O97</f>
        <v>18254476.182749894</v>
      </c>
      <c r="AM98" s="27"/>
    </row>
    <row r="101" spans="1:40">
      <c r="B101" s="74"/>
    </row>
  </sheetData>
  <mergeCells count="8">
    <mergeCell ref="A79:B79"/>
    <mergeCell ref="A91:B91"/>
    <mergeCell ref="A11:B11"/>
    <mergeCell ref="A22:B22"/>
    <mergeCell ref="A33:B33"/>
    <mergeCell ref="A44:B44"/>
    <mergeCell ref="A55:B55"/>
    <mergeCell ref="A67:B6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FD2C-2B67-1F48-9E97-09076AD6B504}">
  <sheetPr>
    <tabColor rgb="FF00B050"/>
  </sheetPr>
  <dimension ref="A1:O69"/>
  <sheetViews>
    <sheetView workbookViewId="0">
      <pane xSplit="1" ySplit="2" topLeftCell="L28" activePane="bottomRight" state="frozen"/>
      <selection activeCell="A26" sqref="A26:A28"/>
      <selection pane="topRight" activeCell="A26" sqref="A26:A28"/>
      <selection pane="bottomLeft" activeCell="A26" sqref="A26:A28"/>
      <selection pane="bottomRight" activeCell="R2" sqref="R2"/>
    </sheetView>
  </sheetViews>
  <sheetFormatPr defaultColWidth="11.19921875" defaultRowHeight="15.6"/>
  <cols>
    <col min="1" max="1" width="71.5" customWidth="1"/>
    <col min="2" max="2" width="20.69921875" customWidth="1"/>
    <col min="3" max="3" width="12.69921875" style="246" customWidth="1"/>
    <col min="4" max="4" width="20.69921875" style="63" customWidth="1"/>
    <col min="5" max="5" width="15.19921875" style="63" customWidth="1"/>
    <col min="6" max="6" width="14.5" style="63" customWidth="1"/>
    <col min="7" max="8" width="16.19921875" style="63" customWidth="1"/>
    <col min="9" max="11" width="19.296875" style="63" customWidth="1"/>
    <col min="12" max="12" width="25" customWidth="1"/>
    <col min="13" max="13" width="27.19921875" style="64" customWidth="1"/>
    <col min="14" max="14" width="21.796875" style="64" customWidth="1"/>
    <col min="15" max="15" width="18.796875" customWidth="1"/>
  </cols>
  <sheetData>
    <row r="1" spans="1:15" ht="23.4">
      <c r="A1" s="62" t="s">
        <v>81</v>
      </c>
    </row>
    <row r="2" spans="1:15" s="65" customFormat="1" ht="69">
      <c r="A2" s="66" t="s">
        <v>57</v>
      </c>
      <c r="B2" s="66" t="s">
        <v>58</v>
      </c>
      <c r="C2" s="247" t="s">
        <v>118</v>
      </c>
      <c r="D2" s="66" t="s">
        <v>59</v>
      </c>
      <c r="E2" s="66" t="s">
        <v>9</v>
      </c>
      <c r="F2" s="66" t="s">
        <v>5</v>
      </c>
      <c r="G2" s="66" t="s">
        <v>7</v>
      </c>
      <c r="H2" s="66" t="s">
        <v>89</v>
      </c>
      <c r="I2" s="66" t="s">
        <v>167</v>
      </c>
      <c r="J2" s="190" t="s">
        <v>257</v>
      </c>
      <c r="K2" s="190" t="s">
        <v>185</v>
      </c>
      <c r="L2" s="66" t="s">
        <v>219</v>
      </c>
      <c r="M2" s="66" t="s">
        <v>60</v>
      </c>
      <c r="N2" s="66" t="s">
        <v>61</v>
      </c>
      <c r="O2" s="66" t="s">
        <v>62</v>
      </c>
    </row>
    <row r="3" spans="1:15" s="32" customFormat="1" ht="18">
      <c r="A3" s="89" t="s">
        <v>55</v>
      </c>
      <c r="B3" s="32" t="s">
        <v>115</v>
      </c>
      <c r="C3" s="250"/>
      <c r="D3" s="90"/>
      <c r="E3" s="90"/>
      <c r="F3" s="90"/>
      <c r="G3" s="90"/>
      <c r="H3" s="90"/>
      <c r="I3" s="90"/>
      <c r="J3" s="90"/>
      <c r="K3" s="90"/>
      <c r="M3" s="91"/>
      <c r="N3" s="91"/>
    </row>
    <row r="4" spans="1:15" s="40" customFormat="1">
      <c r="A4" s="346" t="s">
        <v>56</v>
      </c>
      <c r="B4" s="346"/>
      <c r="C4" s="346"/>
      <c r="D4" s="346"/>
      <c r="E4" s="346"/>
      <c r="F4" s="346"/>
      <c r="G4" s="346"/>
      <c r="H4" s="346"/>
      <c r="I4" s="346"/>
      <c r="J4" s="346"/>
      <c r="K4" s="346"/>
      <c r="L4" s="346"/>
      <c r="M4" s="346"/>
      <c r="N4" s="346"/>
      <c r="O4" s="346"/>
    </row>
    <row r="5" spans="1:15">
      <c r="A5" t="s">
        <v>0</v>
      </c>
      <c r="B5" s="86">
        <v>84000000</v>
      </c>
      <c r="C5" s="253" t="s">
        <v>119</v>
      </c>
      <c r="D5" s="63">
        <v>2010</v>
      </c>
      <c r="E5" s="63">
        <v>16.5</v>
      </c>
      <c r="F5" s="68">
        <v>2.5000000000000001E-3</v>
      </c>
      <c r="G5" s="63">
        <v>4</v>
      </c>
      <c r="H5" s="63">
        <v>2019</v>
      </c>
      <c r="I5" s="223" t="s">
        <v>184</v>
      </c>
      <c r="L5" s="88">
        <f>'ROC - Outstanding Balances'!B18</f>
        <v>54362240.664687142</v>
      </c>
      <c r="M5" s="64">
        <v>31.5</v>
      </c>
      <c r="N5" s="69">
        <v>1.4999999999999999E-2</v>
      </c>
      <c r="O5">
        <v>4</v>
      </c>
    </row>
    <row r="6" spans="1:15">
      <c r="A6" t="s">
        <v>63</v>
      </c>
      <c r="B6" s="86">
        <v>88000000</v>
      </c>
      <c r="C6" s="253" t="s">
        <v>119</v>
      </c>
      <c r="D6" s="63">
        <v>2010</v>
      </c>
      <c r="E6" s="63">
        <v>16.5</v>
      </c>
      <c r="F6" s="68">
        <v>2.5000000000000001E-3</v>
      </c>
      <c r="G6" s="63">
        <v>4</v>
      </c>
      <c r="H6" s="63">
        <v>2019</v>
      </c>
      <c r="I6" s="63" t="s">
        <v>184</v>
      </c>
      <c r="L6" s="88">
        <f>'ROC - Outstanding Balances'!B29</f>
        <v>56950918.791577056</v>
      </c>
      <c r="M6" s="64">
        <v>31.5</v>
      </c>
      <c r="N6" s="69">
        <v>1.4999999999999999E-2</v>
      </c>
      <c r="O6">
        <v>4</v>
      </c>
    </row>
    <row r="7" spans="1:15">
      <c r="A7" t="s">
        <v>64</v>
      </c>
      <c r="B7" s="86">
        <v>1000000000</v>
      </c>
      <c r="C7" s="253" t="s">
        <v>119</v>
      </c>
      <c r="D7" s="63">
        <v>2013</v>
      </c>
      <c r="E7" s="63">
        <v>20</v>
      </c>
      <c r="F7" s="68">
        <v>2.5000000000000001E-3</v>
      </c>
      <c r="G7" s="63">
        <v>5</v>
      </c>
      <c r="H7" s="63">
        <v>2019</v>
      </c>
      <c r="I7" s="63" t="s">
        <v>184</v>
      </c>
      <c r="L7" s="88">
        <f>'ROC - Outstanding Balances'!B40</f>
        <v>967859413.29737449</v>
      </c>
      <c r="M7" s="64">
        <v>35</v>
      </c>
      <c r="N7" s="70">
        <v>0.02</v>
      </c>
      <c r="O7">
        <v>5</v>
      </c>
    </row>
    <row r="8" spans="1:15">
      <c r="A8" t="s">
        <v>65</v>
      </c>
      <c r="B8" s="86">
        <v>96363372.650000006</v>
      </c>
      <c r="C8" s="253" t="s">
        <v>119</v>
      </c>
      <c r="D8" s="63">
        <v>2011</v>
      </c>
      <c r="E8" s="63">
        <v>19</v>
      </c>
      <c r="F8" s="68">
        <v>2.5000000000000001E-3</v>
      </c>
      <c r="G8" s="63">
        <v>4</v>
      </c>
      <c r="H8" s="63">
        <v>2019</v>
      </c>
      <c r="I8" s="63" t="s">
        <v>184</v>
      </c>
      <c r="L8" s="88">
        <f>'ROC - Outstanding Balances'!B51</f>
        <v>74519864.4062673</v>
      </c>
      <c r="M8" s="64">
        <v>34</v>
      </c>
      <c r="N8" s="69">
        <v>1.4999999999999999E-2</v>
      </c>
      <c r="O8">
        <v>4</v>
      </c>
    </row>
    <row r="9" spans="1:15">
      <c r="A9" t="s">
        <v>66</v>
      </c>
      <c r="B9" s="86">
        <v>56043600</v>
      </c>
      <c r="C9" s="253" t="s">
        <v>119</v>
      </c>
      <c r="D9" s="63">
        <v>2014</v>
      </c>
      <c r="E9" s="63">
        <v>14</v>
      </c>
      <c r="F9" s="68">
        <v>2.5000000000000001E-3</v>
      </c>
      <c r="G9" s="63">
        <v>4</v>
      </c>
      <c r="H9" s="63">
        <v>2019</v>
      </c>
      <c r="I9" s="63" t="s">
        <v>184</v>
      </c>
      <c r="L9" s="88">
        <f>'ROC - Outstanding Balances'!B62</f>
        <v>53307390.197899811</v>
      </c>
      <c r="M9" s="64">
        <v>29</v>
      </c>
      <c r="N9" s="69">
        <v>1.4999999999999999E-2</v>
      </c>
      <c r="O9">
        <v>4</v>
      </c>
    </row>
    <row r="10" spans="1:15">
      <c r="A10" t="s">
        <v>67</v>
      </c>
      <c r="B10" s="86">
        <v>54800000</v>
      </c>
      <c r="C10" s="253" t="s">
        <v>119</v>
      </c>
      <c r="D10" s="63">
        <v>2013</v>
      </c>
      <c r="E10" s="63">
        <v>13</v>
      </c>
      <c r="F10" s="68">
        <v>2.5000000000000001E-3</v>
      </c>
      <c r="G10" s="63">
        <v>4</v>
      </c>
      <c r="H10" s="63">
        <v>2019</v>
      </c>
      <c r="I10" s="63" t="s">
        <v>184</v>
      </c>
      <c r="L10" s="88">
        <f>'ROC - Outstanding Balances'!B74</f>
        <v>45836844.88824147</v>
      </c>
      <c r="M10" s="64">
        <v>28</v>
      </c>
      <c r="N10" s="69">
        <v>1.4999999999999999E-2</v>
      </c>
      <c r="O10">
        <v>4</v>
      </c>
    </row>
    <row r="11" spans="1:15">
      <c r="A11" t="s">
        <v>68</v>
      </c>
      <c r="B11" s="86">
        <v>328100000</v>
      </c>
      <c r="C11" s="253" t="s">
        <v>119</v>
      </c>
      <c r="D11" s="63">
        <v>2014</v>
      </c>
      <c r="E11" s="63">
        <v>16.5</v>
      </c>
      <c r="F11" s="68">
        <v>2.5000000000000001E-3</v>
      </c>
      <c r="G11" s="63">
        <v>4</v>
      </c>
      <c r="H11" s="63">
        <v>2019</v>
      </c>
      <c r="I11" s="63" t="s">
        <v>184</v>
      </c>
      <c r="L11" s="88">
        <f>'ROC - Outstanding Balances'!B86</f>
        <v>315365460.29982305</v>
      </c>
      <c r="M11" s="64">
        <v>31.5</v>
      </c>
      <c r="N11" s="69">
        <v>1.4999999999999999E-2</v>
      </c>
      <c r="O11">
        <v>4</v>
      </c>
    </row>
    <row r="12" spans="1:15">
      <c r="A12" t="s">
        <v>69</v>
      </c>
      <c r="B12" s="86">
        <v>19191458.399999999</v>
      </c>
      <c r="C12" s="253" t="s">
        <v>119</v>
      </c>
      <c r="D12" s="63">
        <v>2014</v>
      </c>
      <c r="E12" s="63">
        <v>14</v>
      </c>
      <c r="F12" s="68">
        <v>2.5000000000000001E-3</v>
      </c>
      <c r="G12" s="63">
        <v>4</v>
      </c>
      <c r="H12" s="63">
        <v>2019</v>
      </c>
      <c r="I12" s="63" t="s">
        <v>184</v>
      </c>
      <c r="L12" s="88">
        <f>'ROC - Outstanding Balances'!B98</f>
        <v>18254476.182749894</v>
      </c>
      <c r="M12" s="64">
        <v>29</v>
      </c>
      <c r="N12" s="69">
        <v>1.4999999999999999E-2</v>
      </c>
      <c r="O12">
        <v>4</v>
      </c>
    </row>
    <row r="13" spans="1:15" s="2" customFormat="1">
      <c r="A13" s="2" t="s">
        <v>54</v>
      </c>
      <c r="B13" s="87">
        <f>SUM(B5:B12)</f>
        <v>1726498431.0500002</v>
      </c>
      <c r="C13" s="253" t="s">
        <v>119</v>
      </c>
      <c r="D13" s="72"/>
      <c r="E13" s="72"/>
      <c r="F13" s="72"/>
      <c r="G13" s="72"/>
      <c r="H13" s="72"/>
      <c r="I13" s="72"/>
      <c r="J13" s="72"/>
      <c r="K13" s="72"/>
      <c r="L13" s="87">
        <f>SUM(L5:L12)</f>
        <v>1586456608.7286205</v>
      </c>
      <c r="M13" s="73"/>
      <c r="N13" s="73"/>
    </row>
    <row r="14" spans="1:15">
      <c r="B14" s="67"/>
      <c r="C14" s="254"/>
      <c r="L14" s="87">
        <v>1612330000</v>
      </c>
    </row>
    <row r="15" spans="1:15" s="40" customFormat="1">
      <c r="A15" s="107" t="s">
        <v>113</v>
      </c>
      <c r="C15" s="251"/>
      <c r="D15" s="92"/>
      <c r="E15" s="92"/>
      <c r="F15" s="92"/>
      <c r="G15" s="92"/>
      <c r="H15" s="92"/>
      <c r="I15" s="92"/>
      <c r="J15" s="92"/>
      <c r="K15" s="92"/>
      <c r="M15" s="93"/>
      <c r="N15" s="93"/>
    </row>
    <row r="16" spans="1:15" ht="31.2">
      <c r="A16" s="19" t="s">
        <v>116</v>
      </c>
      <c r="B16" s="113">
        <v>551507000</v>
      </c>
      <c r="C16" s="253" t="s">
        <v>119</v>
      </c>
      <c r="D16" s="63">
        <v>2005</v>
      </c>
      <c r="E16" s="63">
        <v>17</v>
      </c>
      <c r="F16" s="108">
        <v>2E-3</v>
      </c>
      <c r="G16" s="63">
        <v>5</v>
      </c>
      <c r="H16" s="63">
        <v>2018</v>
      </c>
      <c r="I16" s="63" t="s">
        <v>184</v>
      </c>
      <c r="L16" s="113">
        <v>343630496.45999998</v>
      </c>
      <c r="M16" s="63">
        <v>33</v>
      </c>
      <c r="N16" s="68">
        <v>2E-3</v>
      </c>
      <c r="O16" s="114">
        <v>8.5</v>
      </c>
    </row>
    <row r="19" spans="1:15" s="2" customFormat="1">
      <c r="C19" s="248"/>
      <c r="D19" s="72"/>
      <c r="E19" s="72"/>
      <c r="F19" s="72"/>
      <c r="G19" s="72"/>
      <c r="H19" s="72"/>
      <c r="I19" s="72"/>
      <c r="J19" s="72"/>
      <c r="K19" s="72"/>
      <c r="M19" s="73"/>
      <c r="N19" s="73"/>
    </row>
    <row r="20" spans="1:15" s="32" customFormat="1" ht="18">
      <c r="A20" s="89" t="s">
        <v>82</v>
      </c>
      <c r="B20" s="94"/>
      <c r="C20" s="282"/>
      <c r="D20" s="90"/>
      <c r="E20" s="90"/>
      <c r="F20" s="90"/>
      <c r="G20" s="90"/>
      <c r="H20" s="90"/>
      <c r="I20" s="90"/>
      <c r="J20" s="90"/>
      <c r="K20" s="90"/>
      <c r="M20" s="91"/>
      <c r="N20" s="91"/>
    </row>
    <row r="21" spans="1:15" s="40" customFormat="1">
      <c r="A21" s="107" t="s">
        <v>114</v>
      </c>
      <c r="C21" s="251"/>
      <c r="D21" s="92"/>
      <c r="E21" s="92"/>
      <c r="F21" s="92"/>
      <c r="G21" s="92"/>
      <c r="H21" s="92"/>
      <c r="I21" s="92"/>
      <c r="J21" s="92"/>
      <c r="K21" s="92"/>
      <c r="M21" s="93"/>
      <c r="N21" s="93"/>
    </row>
    <row r="22" spans="1:15">
      <c r="A22" t="s">
        <v>41</v>
      </c>
      <c r="B22" s="249">
        <v>50000000</v>
      </c>
      <c r="C22" s="283" t="s">
        <v>120</v>
      </c>
      <c r="D22" s="224">
        <v>1997</v>
      </c>
      <c r="E22" s="224">
        <v>14</v>
      </c>
      <c r="F22" s="281">
        <v>0.02</v>
      </c>
      <c r="G22" s="224">
        <v>8</v>
      </c>
      <c r="H22" s="224">
        <v>2011</v>
      </c>
      <c r="I22" s="246">
        <v>0</v>
      </c>
      <c r="J22" s="266">
        <v>63245968.270000003</v>
      </c>
      <c r="K22" s="267">
        <v>13963494.560000002</v>
      </c>
      <c r="L22" s="316">
        <v>49282473.710000001</v>
      </c>
      <c r="M22" s="64">
        <v>30.5</v>
      </c>
      <c r="N22" s="70">
        <v>0.02</v>
      </c>
      <c r="O22">
        <v>26.5</v>
      </c>
    </row>
    <row r="23" spans="1:15">
      <c r="A23" t="s">
        <v>100</v>
      </c>
      <c r="B23" s="249">
        <v>87980000</v>
      </c>
      <c r="C23" s="283" t="s">
        <v>120</v>
      </c>
      <c r="D23" s="224">
        <v>1998</v>
      </c>
      <c r="E23" s="224">
        <v>8</v>
      </c>
      <c r="F23" s="281">
        <v>0.04</v>
      </c>
      <c r="G23" s="224">
        <v>4</v>
      </c>
      <c r="H23" s="224">
        <v>2011</v>
      </c>
      <c r="I23" s="246">
        <v>0</v>
      </c>
      <c r="J23" s="266">
        <v>111525283</v>
      </c>
      <c r="K23" s="265">
        <v>23633406.670000002</v>
      </c>
      <c r="L23" s="317">
        <v>87891876.329999998</v>
      </c>
      <c r="M23" s="64">
        <v>35.5</v>
      </c>
      <c r="N23" s="70">
        <v>0.02</v>
      </c>
      <c r="O23">
        <v>29.5</v>
      </c>
    </row>
    <row r="24" spans="1:15">
      <c r="A24" t="s">
        <v>101</v>
      </c>
      <c r="B24" s="249">
        <v>8305000</v>
      </c>
      <c r="C24" s="283" t="s">
        <v>120</v>
      </c>
      <c r="D24" s="224">
        <v>2005</v>
      </c>
      <c r="E24" s="224">
        <v>10</v>
      </c>
      <c r="F24" s="281">
        <v>0.04</v>
      </c>
      <c r="G24" s="224">
        <v>4</v>
      </c>
      <c r="H24" s="224">
        <v>2011</v>
      </c>
      <c r="I24" s="246">
        <v>0</v>
      </c>
      <c r="J24" s="266">
        <v>8984490.0999999996</v>
      </c>
      <c r="K24" s="265">
        <v>770875.09999999963</v>
      </c>
      <c r="L24" s="317">
        <v>8213615</v>
      </c>
      <c r="M24" s="64">
        <v>21</v>
      </c>
      <c r="N24" s="70">
        <v>0.02</v>
      </c>
      <c r="O24">
        <v>17</v>
      </c>
    </row>
    <row r="25" spans="1:15">
      <c r="B25" s="67"/>
      <c r="C25" s="254"/>
    </row>
    <row r="26" spans="1:15" s="107" customFormat="1">
      <c r="A26" s="107" t="s">
        <v>121</v>
      </c>
      <c r="B26" s="127"/>
      <c r="C26" s="284"/>
      <c r="D26" s="128"/>
      <c r="E26" s="128"/>
      <c r="F26" s="128"/>
      <c r="G26" s="128"/>
      <c r="H26" s="128"/>
      <c r="I26" s="128"/>
      <c r="J26" s="128"/>
      <c r="K26" s="128"/>
      <c r="M26" s="129"/>
      <c r="N26" s="129"/>
    </row>
    <row r="27" spans="1:15">
      <c r="A27" t="s">
        <v>122</v>
      </c>
      <c r="B27" s="85">
        <v>5000000</v>
      </c>
      <c r="C27" s="283" t="s">
        <v>119</v>
      </c>
      <c r="D27" s="224">
        <v>2000</v>
      </c>
      <c r="E27" s="224">
        <v>15</v>
      </c>
      <c r="F27" s="225">
        <v>5.5E-2</v>
      </c>
      <c r="G27" s="224">
        <v>6.5</v>
      </c>
      <c r="H27" s="224">
        <v>2012</v>
      </c>
      <c r="I27" s="226">
        <v>0</v>
      </c>
      <c r="J27" s="227">
        <v>8439792</v>
      </c>
      <c r="K27" s="227">
        <v>3439792</v>
      </c>
      <c r="L27" s="228">
        <v>5000000</v>
      </c>
      <c r="M27" s="64">
        <v>22</v>
      </c>
      <c r="N27" s="69">
        <v>5.5E-2</v>
      </c>
      <c r="O27">
        <v>12</v>
      </c>
    </row>
    <row r="28" spans="1:15">
      <c r="A28" t="s">
        <v>123</v>
      </c>
      <c r="B28" s="67">
        <v>18365000</v>
      </c>
      <c r="C28" s="254" t="s">
        <v>124</v>
      </c>
      <c r="D28" s="63">
        <v>1995</v>
      </c>
      <c r="E28" s="63">
        <v>15.5</v>
      </c>
      <c r="F28" s="68">
        <v>5.5E-2</v>
      </c>
      <c r="G28" s="63">
        <v>6.5</v>
      </c>
      <c r="H28" s="63">
        <v>2011</v>
      </c>
      <c r="I28" s="160">
        <v>918250</v>
      </c>
      <c r="J28" s="160">
        <v>17446750</v>
      </c>
      <c r="K28" s="160">
        <v>6639339</v>
      </c>
      <c r="L28" s="162">
        <v>10807411</v>
      </c>
      <c r="M28" s="64">
        <v>31.5</v>
      </c>
      <c r="N28" s="69">
        <v>2.75E-2</v>
      </c>
      <c r="O28">
        <v>9.5</v>
      </c>
    </row>
    <row r="29" spans="1:15">
      <c r="A29" t="s">
        <v>125</v>
      </c>
      <c r="B29" s="67">
        <v>18365000</v>
      </c>
      <c r="C29" s="254" t="s">
        <v>124</v>
      </c>
      <c r="D29" s="63">
        <v>1998</v>
      </c>
      <c r="E29" s="63">
        <v>15</v>
      </c>
      <c r="F29" s="68">
        <v>5.5E-2</v>
      </c>
      <c r="G29" s="63">
        <v>8</v>
      </c>
      <c r="H29" s="63">
        <v>2011</v>
      </c>
      <c r="I29" s="160">
        <v>0</v>
      </c>
      <c r="J29" s="160">
        <v>27879917.120000001</v>
      </c>
      <c r="K29" s="160">
        <v>12703698.880000001</v>
      </c>
      <c r="L29" s="162">
        <v>15176228</v>
      </c>
      <c r="M29" s="64">
        <v>29</v>
      </c>
      <c r="N29" s="69">
        <v>2.75E-2</v>
      </c>
      <c r="O29">
        <v>16</v>
      </c>
    </row>
    <row r="30" spans="1:15">
      <c r="A30" t="s">
        <v>126</v>
      </c>
      <c r="B30" s="67">
        <v>21423458</v>
      </c>
      <c r="C30" s="254" t="s">
        <v>127</v>
      </c>
      <c r="D30" s="63">
        <v>2009</v>
      </c>
      <c r="E30" s="63">
        <v>14</v>
      </c>
      <c r="F30" s="68">
        <v>2.75E-2</v>
      </c>
      <c r="G30" s="63">
        <v>4.5</v>
      </c>
      <c r="H30" s="63">
        <v>2015</v>
      </c>
      <c r="I30" s="160">
        <f>263508.5334+263508.5334+304213.1036+304213.1036</f>
        <v>1135443.274</v>
      </c>
      <c r="J30" s="160">
        <v>20287814.726</v>
      </c>
      <c r="K30" s="160">
        <v>6932430.7259999998</v>
      </c>
      <c r="L30" s="163">
        <v>13355384</v>
      </c>
      <c r="M30" s="64">
        <v>23.5</v>
      </c>
      <c r="N30" s="69">
        <v>2.75E-2</v>
      </c>
      <c r="O30">
        <v>4.5</v>
      </c>
    </row>
    <row r="31" spans="1:15">
      <c r="A31" t="s">
        <v>128</v>
      </c>
      <c r="B31" s="67">
        <v>3213669</v>
      </c>
      <c r="C31" s="254" t="s">
        <v>127</v>
      </c>
      <c r="D31" s="63">
        <v>2009</v>
      </c>
      <c r="E31" s="63">
        <v>14</v>
      </c>
      <c r="F31" s="68">
        <v>2.75E-2</v>
      </c>
      <c r="G31" s="63">
        <v>4.5</v>
      </c>
      <c r="H31" s="63">
        <v>2015</v>
      </c>
      <c r="I31" s="161">
        <f>39528.1287+39528.1287+45634.0988+45634.0988</f>
        <v>170324.45500000002</v>
      </c>
      <c r="J31" s="160">
        <v>3043344.5449999999</v>
      </c>
      <c r="K31" s="160">
        <v>1039943.5449999999</v>
      </c>
      <c r="L31" s="163">
        <v>2003401</v>
      </c>
      <c r="M31" s="64">
        <v>23.5</v>
      </c>
      <c r="N31" s="69">
        <v>2.75E-2</v>
      </c>
      <c r="O31">
        <v>4.5</v>
      </c>
    </row>
    <row r="32" spans="1:15" s="63" customFormat="1">
      <c r="A32" t="s">
        <v>129</v>
      </c>
      <c r="B32" s="67">
        <v>3422477</v>
      </c>
      <c r="C32" s="254" t="s">
        <v>127</v>
      </c>
      <c r="D32" s="63">
        <v>2007</v>
      </c>
      <c r="E32" s="63">
        <v>7.5</v>
      </c>
      <c r="F32" s="75">
        <v>0.02</v>
      </c>
      <c r="G32" s="63">
        <v>3</v>
      </c>
      <c r="H32" s="63">
        <v>2011</v>
      </c>
      <c r="I32" s="159">
        <v>0</v>
      </c>
      <c r="J32" s="160">
        <v>45285</v>
      </c>
      <c r="K32" s="160">
        <v>0</v>
      </c>
      <c r="L32" s="162">
        <v>3467762</v>
      </c>
      <c r="M32" s="64">
        <v>54</v>
      </c>
      <c r="N32" s="70">
        <v>0.02</v>
      </c>
      <c r="O32">
        <v>20</v>
      </c>
    </row>
    <row r="33" spans="1:15" s="63" customFormat="1">
      <c r="A33" s="141" t="s">
        <v>130</v>
      </c>
      <c r="B33" s="175">
        <v>1076543236</v>
      </c>
      <c r="C33" s="254" t="s">
        <v>131</v>
      </c>
      <c r="D33" s="63">
        <v>1990</v>
      </c>
      <c r="E33" s="63">
        <v>19</v>
      </c>
      <c r="F33" s="152">
        <v>7.8600000000000003E-2</v>
      </c>
      <c r="G33" s="63">
        <v>6</v>
      </c>
      <c r="H33" s="63">
        <v>2009</v>
      </c>
      <c r="I33" s="159">
        <v>0</v>
      </c>
      <c r="J33" s="160">
        <v>0</v>
      </c>
      <c r="K33" s="160">
        <v>524571595</v>
      </c>
      <c r="L33" s="162">
        <v>551971641</v>
      </c>
      <c r="M33" s="64">
        <v>37</v>
      </c>
      <c r="N33" s="153">
        <v>6.7000000000000002E-3</v>
      </c>
      <c r="O33">
        <v>23.5</v>
      </c>
    </row>
    <row r="34" spans="1:15" s="63" customFormat="1">
      <c r="A34" t="s">
        <v>132</v>
      </c>
      <c r="B34" s="175">
        <v>2289598.21</v>
      </c>
      <c r="C34" s="285" t="s">
        <v>133</v>
      </c>
      <c r="D34" s="63">
        <v>2004</v>
      </c>
      <c r="E34" s="63">
        <v>6</v>
      </c>
      <c r="F34" s="75">
        <v>0</v>
      </c>
      <c r="G34" s="63">
        <v>1.5</v>
      </c>
      <c r="H34" s="63">
        <v>2010</v>
      </c>
      <c r="I34" s="159">
        <v>0</v>
      </c>
      <c r="J34" s="191">
        <v>99848.15</v>
      </c>
      <c r="K34" s="192">
        <v>0</v>
      </c>
      <c r="L34" s="162">
        <v>2389446</v>
      </c>
      <c r="M34" s="64">
        <v>16</v>
      </c>
      <c r="N34" s="70">
        <v>0</v>
      </c>
      <c r="O34">
        <v>6</v>
      </c>
    </row>
    <row r="35" spans="1:15" s="63" customFormat="1">
      <c r="A35" t="s">
        <v>134</v>
      </c>
      <c r="B35" s="67">
        <v>164808</v>
      </c>
      <c r="C35" s="254" t="s">
        <v>135</v>
      </c>
      <c r="D35" s="63">
        <v>1990</v>
      </c>
      <c r="E35" s="63">
        <v>19</v>
      </c>
      <c r="F35" s="75">
        <v>0.09</v>
      </c>
      <c r="G35" s="63">
        <v>8</v>
      </c>
      <c r="H35" s="63">
        <v>2009</v>
      </c>
      <c r="I35" s="159">
        <v>0</v>
      </c>
      <c r="J35" s="160">
        <v>0</v>
      </c>
      <c r="K35" s="160">
        <v>65758</v>
      </c>
      <c r="L35" s="162">
        <v>99050</v>
      </c>
      <c r="M35" s="64">
        <v>37</v>
      </c>
      <c r="N35" s="69">
        <v>3.5000000000000003E-2</v>
      </c>
      <c r="O35">
        <v>24</v>
      </c>
    </row>
    <row r="36" spans="1:15" s="63" customFormat="1">
      <c r="A36" t="s">
        <v>136</v>
      </c>
      <c r="B36" s="67">
        <v>2806716</v>
      </c>
      <c r="C36" s="254" t="s">
        <v>135</v>
      </c>
      <c r="D36" s="63">
        <v>1993</v>
      </c>
      <c r="E36" s="63">
        <v>14</v>
      </c>
      <c r="F36" s="75">
        <v>0.09</v>
      </c>
      <c r="G36" s="63">
        <v>5</v>
      </c>
      <c r="H36" s="63">
        <v>2009</v>
      </c>
      <c r="I36" s="159">
        <v>0</v>
      </c>
      <c r="J36" s="160">
        <v>0</v>
      </c>
      <c r="K36" s="160">
        <v>1108053</v>
      </c>
      <c r="L36" s="162">
        <v>1698663</v>
      </c>
      <c r="M36" s="64">
        <v>34</v>
      </c>
      <c r="N36" s="69">
        <v>3.5000000000000003E-2</v>
      </c>
      <c r="O36">
        <v>21</v>
      </c>
    </row>
    <row r="37" spans="1:15" s="63" customFormat="1">
      <c r="A37" t="s">
        <v>137</v>
      </c>
      <c r="B37" s="67">
        <v>6085687</v>
      </c>
      <c r="C37" s="254" t="s">
        <v>135</v>
      </c>
      <c r="D37" s="63">
        <v>1977</v>
      </c>
      <c r="E37" s="63">
        <v>25</v>
      </c>
      <c r="F37" s="75">
        <v>0.06</v>
      </c>
      <c r="G37" s="63">
        <v>5</v>
      </c>
      <c r="H37" s="63">
        <v>2009</v>
      </c>
      <c r="I37" s="159">
        <v>0</v>
      </c>
      <c r="J37" s="160">
        <v>0</v>
      </c>
      <c r="K37" s="160">
        <v>2777694</v>
      </c>
      <c r="L37" s="162">
        <v>3307993</v>
      </c>
      <c r="M37" s="64">
        <v>50</v>
      </c>
      <c r="N37" s="69">
        <v>3.5000000000000003E-2</v>
      </c>
      <c r="O37">
        <v>37</v>
      </c>
    </row>
    <row r="38" spans="1:15">
      <c r="A38" t="s">
        <v>138</v>
      </c>
      <c r="B38" s="67">
        <v>2146031</v>
      </c>
      <c r="C38" s="254" t="s">
        <v>135</v>
      </c>
      <c r="D38" s="63">
        <v>1981</v>
      </c>
      <c r="E38" s="63">
        <v>26</v>
      </c>
      <c r="F38" s="75">
        <v>0.06</v>
      </c>
      <c r="G38" s="63">
        <v>8</v>
      </c>
      <c r="H38" s="63">
        <v>2009</v>
      </c>
      <c r="I38" s="159">
        <v>0</v>
      </c>
      <c r="J38" s="160">
        <v>0</v>
      </c>
      <c r="K38" s="160">
        <v>842319</v>
      </c>
      <c r="L38" s="162">
        <v>1303712</v>
      </c>
      <c r="M38" s="64">
        <v>46</v>
      </c>
      <c r="N38" s="69">
        <v>3.5000000000000003E-2</v>
      </c>
      <c r="O38">
        <v>33</v>
      </c>
    </row>
    <row r="39" spans="1:15">
      <c r="B39" s="67"/>
      <c r="C39" s="254"/>
      <c r="F39" s="75"/>
      <c r="L39" s="130"/>
      <c r="N39" s="69"/>
    </row>
    <row r="40" spans="1:15" s="107" customFormat="1">
      <c r="A40" s="107" t="s">
        <v>139</v>
      </c>
      <c r="B40" s="127"/>
      <c r="C40" s="284"/>
      <c r="D40" s="128"/>
      <c r="E40" s="128"/>
      <c r="F40" s="128"/>
      <c r="G40" s="128"/>
      <c r="H40" s="128"/>
      <c r="I40" s="128"/>
      <c r="J40" s="128"/>
      <c r="K40" s="128"/>
      <c r="M40" s="129"/>
      <c r="N40" s="129"/>
    </row>
    <row r="41" spans="1:15">
      <c r="A41" t="s">
        <v>140</v>
      </c>
      <c r="B41" s="67">
        <v>6566251</v>
      </c>
      <c r="C41" s="254" t="s">
        <v>127</v>
      </c>
      <c r="D41" s="63">
        <v>1990</v>
      </c>
      <c r="E41" s="63">
        <v>17</v>
      </c>
      <c r="G41" s="63">
        <v>10</v>
      </c>
      <c r="H41" s="63">
        <v>2010</v>
      </c>
      <c r="I41" s="159">
        <v>0</v>
      </c>
      <c r="J41" s="160">
        <v>0</v>
      </c>
      <c r="K41" s="160">
        <v>1906183.08</v>
      </c>
      <c r="L41" s="130">
        <v>4660068</v>
      </c>
      <c r="M41" s="64">
        <v>37</v>
      </c>
      <c r="N41" s="70">
        <v>0</v>
      </c>
      <c r="O41">
        <v>12</v>
      </c>
    </row>
    <row r="42" spans="1:15" s="63" customFormat="1">
      <c r="A42" t="s">
        <v>141</v>
      </c>
      <c r="B42" s="67">
        <v>9380793</v>
      </c>
      <c r="C42" s="254" t="s">
        <v>119</v>
      </c>
      <c r="D42" s="63">
        <v>2009</v>
      </c>
      <c r="G42" s="63">
        <v>5</v>
      </c>
      <c r="H42" s="63">
        <v>2010</v>
      </c>
      <c r="I42" s="159">
        <v>0</v>
      </c>
      <c r="J42" s="160">
        <v>0</v>
      </c>
      <c r="K42" s="160">
        <v>2723456</v>
      </c>
      <c r="L42" s="130">
        <v>6657337</v>
      </c>
      <c r="M42" s="64">
        <v>18</v>
      </c>
      <c r="N42" s="70">
        <v>0.03</v>
      </c>
      <c r="O42">
        <v>9</v>
      </c>
    </row>
    <row r="43" spans="1:15" s="63" customFormat="1">
      <c r="A43" t="s">
        <v>142</v>
      </c>
      <c r="B43" s="74"/>
      <c r="C43" s="286" t="s">
        <v>127</v>
      </c>
      <c r="D43" s="63">
        <v>1997</v>
      </c>
      <c r="E43" s="63">
        <v>12</v>
      </c>
      <c r="G43" s="63">
        <v>2</v>
      </c>
      <c r="H43" s="63">
        <v>2015</v>
      </c>
      <c r="I43" s="159">
        <v>0</v>
      </c>
      <c r="J43" s="160">
        <v>0</v>
      </c>
      <c r="K43" s="160">
        <v>3010496.5500000007</v>
      </c>
      <c r="L43" s="130">
        <v>7359797</v>
      </c>
      <c r="M43" s="64">
        <v>36</v>
      </c>
      <c r="N43" s="64"/>
      <c r="O43">
        <v>7</v>
      </c>
    </row>
    <row r="44" spans="1:15" s="63" customFormat="1">
      <c r="A44" t="s">
        <v>143</v>
      </c>
      <c r="B44" s="47"/>
      <c r="C44" s="285" t="s">
        <v>127</v>
      </c>
      <c r="H44" s="63">
        <v>2009</v>
      </c>
      <c r="I44" s="159">
        <v>0</v>
      </c>
      <c r="J44" s="160">
        <v>14744</v>
      </c>
      <c r="K44" s="160">
        <v>0</v>
      </c>
      <c r="L44" s="130">
        <v>744530</v>
      </c>
      <c r="M44" s="64"/>
      <c r="N44" s="64"/>
      <c r="O44"/>
    </row>
    <row r="45" spans="1:15" s="63" customFormat="1">
      <c r="A45" t="s">
        <v>144</v>
      </c>
      <c r="B45" s="67">
        <v>2659534</v>
      </c>
      <c r="C45" s="254" t="s">
        <v>127</v>
      </c>
      <c r="H45" s="63">
        <v>2009</v>
      </c>
      <c r="I45" s="159">
        <v>0</v>
      </c>
      <c r="J45" s="160">
        <v>99233</v>
      </c>
      <c r="K45" s="160">
        <v>0</v>
      </c>
      <c r="L45" s="130">
        <v>1462790</v>
      </c>
      <c r="M45" s="64"/>
      <c r="N45" s="64" t="s">
        <v>145</v>
      </c>
      <c r="O45"/>
    </row>
    <row r="46" spans="1:15">
      <c r="A46" t="s">
        <v>146</v>
      </c>
      <c r="B46" s="67">
        <v>3392737</v>
      </c>
      <c r="C46" s="254" t="s">
        <v>119</v>
      </c>
      <c r="D46" s="63">
        <v>2008</v>
      </c>
      <c r="F46" s="75"/>
      <c r="H46" s="63">
        <v>2015</v>
      </c>
      <c r="I46" s="159">
        <v>0</v>
      </c>
      <c r="J46" s="193">
        <v>0</v>
      </c>
      <c r="K46" s="160">
        <v>154063.57000000007</v>
      </c>
      <c r="L46" s="130">
        <v>2644172</v>
      </c>
      <c r="M46" s="64">
        <v>25</v>
      </c>
      <c r="N46" s="64" t="s">
        <v>145</v>
      </c>
    </row>
    <row r="47" spans="1:15" s="63" customFormat="1">
      <c r="A47"/>
      <c r="B47" s="67"/>
      <c r="C47" s="254"/>
      <c r="I47" s="159"/>
      <c r="J47" s="159"/>
      <c r="K47" s="159"/>
      <c r="L47"/>
      <c r="M47" s="64"/>
      <c r="N47" s="64"/>
      <c r="O47"/>
    </row>
    <row r="48" spans="1:15" s="63" customFormat="1">
      <c r="A48"/>
      <c r="B48" s="67"/>
      <c r="C48" s="254"/>
      <c r="L48"/>
      <c r="M48" s="64"/>
      <c r="N48" s="64"/>
      <c r="O48"/>
    </row>
    <row r="49" spans="1:15" s="63" customFormat="1">
      <c r="A49"/>
      <c r="B49" s="67"/>
      <c r="C49" s="254"/>
      <c r="L49"/>
      <c r="M49" s="64"/>
      <c r="N49" s="64"/>
      <c r="O49"/>
    </row>
    <row r="50" spans="1:15" s="63" customFormat="1">
      <c r="A50"/>
      <c r="B50" s="67"/>
      <c r="C50" s="254"/>
      <c r="H50" s="287"/>
      <c r="L50"/>
      <c r="M50" s="64"/>
      <c r="N50" s="64"/>
      <c r="O50"/>
    </row>
    <row r="51" spans="1:15" s="63" customFormat="1">
      <c r="A51"/>
      <c r="B51" s="67"/>
      <c r="C51" s="254"/>
      <c r="D51" s="287"/>
      <c r="L51"/>
      <c r="M51" s="64"/>
      <c r="N51" s="64"/>
      <c r="O51"/>
    </row>
    <row r="52" spans="1:15">
      <c r="B52" s="67"/>
      <c r="C52" s="254"/>
      <c r="F52" s="75"/>
    </row>
    <row r="53" spans="1:15">
      <c r="B53" s="67"/>
      <c r="C53" s="254"/>
      <c r="F53" s="75"/>
    </row>
    <row r="54" spans="1:15">
      <c r="B54" s="67"/>
      <c r="C54" s="254"/>
      <c r="F54" s="68"/>
    </row>
    <row r="55" spans="1:15">
      <c r="B55" s="67"/>
      <c r="C55" s="254"/>
    </row>
    <row r="56" spans="1:15">
      <c r="B56" s="67"/>
      <c r="C56" s="254"/>
    </row>
    <row r="57" spans="1:15">
      <c r="B57" s="67"/>
      <c r="C57" s="254"/>
    </row>
    <row r="58" spans="1:15">
      <c r="B58" s="67"/>
      <c r="C58" s="254"/>
    </row>
    <row r="59" spans="1:15">
      <c r="B59" s="67"/>
      <c r="C59" s="254"/>
      <c r="F59" s="68"/>
      <c r="L59" s="67"/>
      <c r="N59" s="69"/>
    </row>
    <row r="60" spans="1:15">
      <c r="B60" s="67"/>
      <c r="C60" s="254"/>
      <c r="F60" s="75"/>
    </row>
    <row r="61" spans="1:15">
      <c r="B61" s="67"/>
      <c r="C61" s="254"/>
    </row>
    <row r="62" spans="1:15">
      <c r="B62" s="67"/>
      <c r="C62" s="254"/>
    </row>
    <row r="63" spans="1:15">
      <c r="B63" s="84"/>
      <c r="C63" s="283"/>
    </row>
    <row r="64" spans="1:15">
      <c r="B64" s="84"/>
      <c r="C64" s="283"/>
    </row>
    <row r="65" spans="1:15">
      <c r="B65" s="85"/>
      <c r="C65" s="283"/>
    </row>
    <row r="66" spans="1:15">
      <c r="B66" s="85"/>
      <c r="C66" s="283"/>
    </row>
    <row r="67" spans="1:15">
      <c r="B67" s="85"/>
      <c r="C67" s="283"/>
    </row>
    <row r="68" spans="1:15" s="63" customFormat="1">
      <c r="A68"/>
      <c r="B68" s="85"/>
      <c r="C68" s="283"/>
      <c r="L68"/>
      <c r="M68" s="64"/>
      <c r="N68" s="64"/>
      <c r="O68"/>
    </row>
    <row r="69" spans="1:15" s="63" customFormat="1" ht="10.95" customHeight="1">
      <c r="A69"/>
      <c r="B69" s="71"/>
      <c r="C69" s="287"/>
      <c r="L69"/>
      <c r="M69" s="64"/>
      <c r="N69" s="64"/>
      <c r="O69"/>
    </row>
  </sheetData>
  <mergeCells count="1">
    <mergeCell ref="A4:O4"/>
  </mergeCells>
  <pageMargins left="0.7" right="0.7" top="0.75" bottom="0.75" header="0.3" footer="0.3"/>
  <pageSetup orientation="portrait" horizontalDpi="0"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FCA45-19E9-184C-8631-5A5A09331F43}">
  <sheetPr>
    <tabColor rgb="FF7030A0"/>
  </sheetPr>
  <dimension ref="A1:BW91"/>
  <sheetViews>
    <sheetView topLeftCell="A4" zoomScale="78" zoomScaleNormal="78" workbookViewId="0">
      <pane xSplit="5" ySplit="27" topLeftCell="F31" activePane="bottomRight" state="frozen"/>
      <selection activeCell="A26" sqref="A26:A28"/>
      <selection pane="topRight" activeCell="A26" sqref="A26:A28"/>
      <selection pane="bottomLeft" activeCell="A26" sqref="A26:A28"/>
      <selection pane="bottomRight" activeCell="H16" sqref="H16"/>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8" max="8" width="2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0</v>
      </c>
    </row>
    <row r="5" spans="1:7" ht="21">
      <c r="A5" s="1"/>
    </row>
    <row r="6" spans="1:7" ht="21">
      <c r="A6" s="347" t="s">
        <v>1</v>
      </c>
      <c r="B6" s="348"/>
      <c r="C6" s="348"/>
      <c r="D6" s="349"/>
      <c r="F6" s="321" t="s">
        <v>2</v>
      </c>
      <c r="G6" s="322"/>
    </row>
    <row r="7" spans="1:7">
      <c r="A7" s="257" t="s">
        <v>3</v>
      </c>
      <c r="B7" s="263"/>
      <c r="C7" s="263"/>
      <c r="D7" s="295">
        <f>Data!D5</f>
        <v>2010</v>
      </c>
      <c r="F7" s="6" t="s">
        <v>4</v>
      </c>
      <c r="G7" s="7">
        <f>D13</f>
        <v>84000000</v>
      </c>
    </row>
    <row r="8" spans="1:7">
      <c r="A8" s="257" t="s">
        <v>5</v>
      </c>
      <c r="B8" s="263"/>
      <c r="C8" s="263"/>
      <c r="D8" s="296">
        <f>Data!F5</f>
        <v>2.5000000000000001E-3</v>
      </c>
      <c r="F8" s="6" t="s">
        <v>6</v>
      </c>
      <c r="G8" s="9">
        <f>D33*-1</f>
        <v>86757264.158401892</v>
      </c>
    </row>
    <row r="9" spans="1:7">
      <c r="A9" s="257" t="s">
        <v>7</v>
      </c>
      <c r="B9" s="263"/>
      <c r="C9" s="263"/>
      <c r="D9" s="260">
        <f>Data!G5</f>
        <v>4</v>
      </c>
      <c r="F9" s="11" t="s">
        <v>8</v>
      </c>
      <c r="G9" s="12">
        <f>D37*-1</f>
        <v>57430996.553470522</v>
      </c>
    </row>
    <row r="10" spans="1:7">
      <c r="A10" s="257" t="s">
        <v>9</v>
      </c>
      <c r="B10" s="263"/>
      <c r="C10" s="263"/>
      <c r="D10" s="260">
        <f>Data!E5</f>
        <v>16.5</v>
      </c>
    </row>
    <row r="11" spans="1:7">
      <c r="A11" s="257" t="s">
        <v>10</v>
      </c>
      <c r="B11" s="263"/>
      <c r="C11" s="263"/>
      <c r="D11" s="260">
        <v>2</v>
      </c>
      <c r="F11" s="321" t="s">
        <v>11</v>
      </c>
      <c r="G11" s="322"/>
    </row>
    <row r="12" spans="1:7">
      <c r="A12" s="257" t="s">
        <v>12</v>
      </c>
      <c r="B12" s="263"/>
      <c r="C12" s="263"/>
      <c r="D12" s="260">
        <f>(D10-D9)*2</f>
        <v>25</v>
      </c>
      <c r="F12" s="6" t="s">
        <v>4</v>
      </c>
      <c r="G12" s="7">
        <f>D13</f>
        <v>84000000</v>
      </c>
    </row>
    <row r="13" spans="1:7">
      <c r="A13" s="257" t="s">
        <v>259</v>
      </c>
      <c r="B13" s="263"/>
      <c r="C13" s="263"/>
      <c r="D13" s="297">
        <f>Data!B5</f>
        <v>84000000</v>
      </c>
      <c r="F13" s="6" t="s">
        <v>31</v>
      </c>
      <c r="G13" s="9">
        <f>D24</f>
        <v>54362240.664687142</v>
      </c>
    </row>
    <row r="14" spans="1:7">
      <c r="A14" s="298" t="s">
        <v>15</v>
      </c>
      <c r="B14" s="261"/>
      <c r="C14" s="261"/>
      <c r="D14" s="299">
        <v>4.07E-2</v>
      </c>
      <c r="F14" s="6" t="s">
        <v>6</v>
      </c>
      <c r="G14" s="9">
        <f>(D44+D53+D62)*-1</f>
        <v>97970172.358230561</v>
      </c>
    </row>
    <row r="15" spans="1:7">
      <c r="A15" s="263"/>
      <c r="B15" s="263"/>
      <c r="C15" s="263"/>
      <c r="D15" s="263"/>
      <c r="E15" s="16"/>
      <c r="F15" s="11" t="s">
        <v>8</v>
      </c>
      <c r="G15" s="12">
        <f>(D48+D57+D66)*-1</f>
        <v>56894348.342077404</v>
      </c>
    </row>
    <row r="16" spans="1:7" ht="20.399999999999999">
      <c r="A16" s="350" t="s">
        <v>16</v>
      </c>
      <c r="B16" s="351"/>
      <c r="C16" s="351"/>
      <c r="D16" s="352"/>
      <c r="E16" s="16"/>
      <c r="F16" s="16"/>
    </row>
    <row r="17" spans="1:75">
      <c r="A17" s="257" t="s">
        <v>17</v>
      </c>
      <c r="B17" s="263"/>
      <c r="C17" s="263"/>
      <c r="D17" s="300">
        <f>Data!H5</f>
        <v>2019</v>
      </c>
      <c r="E17" s="16"/>
      <c r="F17" s="323" t="s">
        <v>109</v>
      </c>
      <c r="G17" s="324"/>
      <c r="H17" s="120"/>
    </row>
    <row r="18" spans="1:75">
      <c r="A18" s="257" t="s">
        <v>5</v>
      </c>
      <c r="B18" s="263"/>
      <c r="C18" s="263"/>
      <c r="D18" s="259">
        <f>Data!N5</f>
        <v>1.4999999999999999E-2</v>
      </c>
      <c r="E18" s="16"/>
      <c r="F18" s="121" t="s">
        <v>44</v>
      </c>
      <c r="G18" s="118" t="s">
        <v>45</v>
      </c>
      <c r="H18" s="58"/>
    </row>
    <row r="19" spans="1:75">
      <c r="A19" s="257" t="s">
        <v>7</v>
      </c>
      <c r="B19" s="263"/>
      <c r="C19" s="263"/>
      <c r="D19" s="260">
        <f>Data!O5</f>
        <v>4</v>
      </c>
      <c r="E19" s="16"/>
      <c r="F19" s="119">
        <f>(1-((D8/D11)/D25))*(1-(((1/((1+D25)^(D11*D9)))-(1/((1+D25)^(D11*D10))))/(D25*(D11*D10-D11*D9))))</f>
        <v>0.37174856851743532</v>
      </c>
      <c r="G19" s="122">
        <f>(1-((D18/D21)/D25))*(1-(((1/((1+D25)^(D21*D19)))-(1/((1+D25)^(D21*D20))))/(D25*(D21*D20-D21*D19))))</f>
        <v>0.38478230541559127</v>
      </c>
    </row>
    <row r="20" spans="1:75">
      <c r="A20" s="257" t="s">
        <v>9</v>
      </c>
      <c r="B20" s="263"/>
      <c r="C20" s="263"/>
      <c r="D20" s="260">
        <f>Data!M5</f>
        <v>31.5</v>
      </c>
      <c r="E20" s="16"/>
      <c r="F20" s="16"/>
    </row>
    <row r="21" spans="1:75">
      <c r="A21" s="257" t="s">
        <v>10</v>
      </c>
      <c r="B21" s="263"/>
      <c r="C21" s="263"/>
      <c r="D21" s="260">
        <v>2</v>
      </c>
      <c r="E21" s="16"/>
      <c r="F21" s="16"/>
    </row>
    <row r="22" spans="1:75">
      <c r="A22" s="257" t="s">
        <v>12</v>
      </c>
      <c r="B22" s="263"/>
      <c r="C22" s="263"/>
      <c r="D22" s="260">
        <f>(D20-D19)*2</f>
        <v>55</v>
      </c>
      <c r="E22" s="16"/>
      <c r="F22" s="16"/>
    </row>
    <row r="23" spans="1:75">
      <c r="A23" s="257" t="s">
        <v>42</v>
      </c>
      <c r="B23" s="263"/>
      <c r="C23" s="263"/>
      <c r="D23" s="260">
        <f>D22-'ROC - Outstanding Balances'!O13-6</f>
        <v>40</v>
      </c>
      <c r="E23" s="16"/>
      <c r="F23" s="16"/>
    </row>
    <row r="24" spans="1:75">
      <c r="A24" s="257" t="s">
        <v>260</v>
      </c>
      <c r="B24" s="263"/>
      <c r="C24" s="263"/>
      <c r="D24" s="301">
        <f>Data!L5</f>
        <v>54362240.664687142</v>
      </c>
      <c r="E24" s="16"/>
      <c r="F24" s="16"/>
    </row>
    <row r="25" spans="1:75">
      <c r="A25" s="196" t="s">
        <v>187</v>
      </c>
      <c r="B25" s="14"/>
      <c r="C25" s="14"/>
      <c r="D25" s="195">
        <f>(1.05^0.5)-1</f>
        <v>2.4695076595959931E-2</v>
      </c>
      <c r="E25" s="16"/>
      <c r="F25" s="16"/>
    </row>
    <row r="26" spans="1:75" s="19" customFormat="1" ht="46.8">
      <c r="A26" s="302" t="s">
        <v>43</v>
      </c>
      <c r="E26" s="20"/>
      <c r="F26" s="20"/>
      <c r="N26" s="21" t="s">
        <v>19</v>
      </c>
      <c r="T26" s="21" t="s">
        <v>20</v>
      </c>
      <c r="AD26" s="21" t="s">
        <v>21</v>
      </c>
      <c r="BH26" s="21" t="s">
        <v>22</v>
      </c>
    </row>
    <row r="27" spans="1:75">
      <c r="A27" s="262" t="s">
        <v>23</v>
      </c>
      <c r="D27" s="2"/>
      <c r="E27" s="23" t="s">
        <v>83</v>
      </c>
      <c r="F27" s="24">
        <v>42004</v>
      </c>
      <c r="G27" s="24">
        <v>42185</v>
      </c>
      <c r="H27" s="24">
        <v>42369</v>
      </c>
      <c r="I27" s="24">
        <v>42551</v>
      </c>
      <c r="J27" s="24">
        <v>42735</v>
      </c>
      <c r="K27" s="24">
        <v>42916</v>
      </c>
      <c r="L27" s="24">
        <v>43100</v>
      </c>
      <c r="M27" s="24">
        <v>43281</v>
      </c>
      <c r="N27" s="24">
        <v>43465</v>
      </c>
      <c r="O27" s="24">
        <v>43646</v>
      </c>
      <c r="P27" s="24">
        <v>43830</v>
      </c>
      <c r="Q27" s="24">
        <v>44012</v>
      </c>
      <c r="R27" s="24">
        <v>44196</v>
      </c>
      <c r="S27" s="24">
        <v>44377</v>
      </c>
      <c r="T27" s="24">
        <v>44561</v>
      </c>
      <c r="U27" s="24">
        <v>44742</v>
      </c>
      <c r="V27" s="24">
        <v>44926</v>
      </c>
      <c r="W27" s="24">
        <v>45107</v>
      </c>
      <c r="X27" s="24">
        <v>45291</v>
      </c>
      <c r="Y27" s="24">
        <v>45473</v>
      </c>
      <c r="Z27" s="24">
        <v>45657</v>
      </c>
      <c r="AA27" s="24">
        <v>45838</v>
      </c>
      <c r="AB27" s="24">
        <v>46022</v>
      </c>
      <c r="AC27" s="24">
        <v>46203</v>
      </c>
      <c r="AD27" s="24">
        <v>46387</v>
      </c>
      <c r="AE27" s="24">
        <v>46568</v>
      </c>
      <c r="AF27" s="24">
        <v>46752</v>
      </c>
      <c r="AG27" s="24">
        <v>46934</v>
      </c>
      <c r="AH27" s="24">
        <v>47118</v>
      </c>
      <c r="AI27" s="24">
        <v>47299</v>
      </c>
      <c r="AJ27" s="24">
        <v>47483</v>
      </c>
      <c r="AK27" s="24">
        <v>47664</v>
      </c>
      <c r="AL27" s="24">
        <v>47848</v>
      </c>
      <c r="AM27" s="24">
        <v>48029</v>
      </c>
      <c r="AN27" s="24">
        <v>48213</v>
      </c>
      <c r="AO27" s="24">
        <v>48395</v>
      </c>
      <c r="AP27" s="24">
        <v>48579</v>
      </c>
      <c r="AQ27" s="24">
        <v>48760</v>
      </c>
      <c r="AR27" s="24">
        <v>48944</v>
      </c>
      <c r="AS27" s="24">
        <v>49125</v>
      </c>
      <c r="AT27" s="24">
        <v>49309</v>
      </c>
      <c r="AU27" s="24">
        <v>49490</v>
      </c>
      <c r="AV27" s="24">
        <v>49674</v>
      </c>
      <c r="AW27" s="24">
        <v>49856</v>
      </c>
      <c r="AX27" s="24">
        <v>50040</v>
      </c>
      <c r="AY27" s="24">
        <v>50221</v>
      </c>
      <c r="AZ27" s="24">
        <v>50405</v>
      </c>
      <c r="BA27" s="24">
        <v>50586</v>
      </c>
      <c r="BB27" s="24">
        <v>50770</v>
      </c>
      <c r="BC27" s="24">
        <v>50951</v>
      </c>
      <c r="BD27" s="24">
        <v>51135</v>
      </c>
      <c r="BE27" s="24">
        <v>51317</v>
      </c>
      <c r="BF27" s="24">
        <v>51501</v>
      </c>
      <c r="BG27" s="24">
        <v>51682</v>
      </c>
      <c r="BH27" s="24">
        <v>51866</v>
      </c>
      <c r="BI27" s="23"/>
      <c r="BJ27" s="24"/>
      <c r="BK27" s="23"/>
      <c r="BL27" s="24"/>
      <c r="BM27" s="23"/>
      <c r="BN27" s="24"/>
      <c r="BO27" s="23"/>
      <c r="BP27" s="24"/>
      <c r="BQ27" s="23"/>
      <c r="BR27" s="24"/>
      <c r="BS27" s="23"/>
      <c r="BT27" s="24"/>
      <c r="BU27" s="23"/>
      <c r="BV27" s="24"/>
      <c r="BW27" s="23"/>
    </row>
    <row r="28" spans="1:75">
      <c r="A28" s="262" t="s">
        <v>38</v>
      </c>
      <c r="D28" s="2"/>
      <c r="E28" s="23"/>
      <c r="F28" s="54">
        <f>(D9*2)+1</f>
        <v>9</v>
      </c>
      <c r="G28" s="54">
        <f>F28+1</f>
        <v>10</v>
      </c>
      <c r="H28" s="54">
        <f t="shared" ref="H28:BH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f t="shared" si="0"/>
        <v>59</v>
      </c>
      <c r="BE28" s="54">
        <f t="shared" si="0"/>
        <v>60</v>
      </c>
      <c r="BF28" s="54">
        <f t="shared" si="0"/>
        <v>61</v>
      </c>
      <c r="BG28" s="54">
        <f t="shared" si="0"/>
        <v>62</v>
      </c>
      <c r="BH28" s="54">
        <f t="shared" si="0"/>
        <v>63</v>
      </c>
      <c r="BI28" s="23"/>
      <c r="BJ28" s="24"/>
      <c r="BK28" s="23"/>
      <c r="BL28" s="24"/>
      <c r="BM28" s="23"/>
      <c r="BN28" s="24"/>
      <c r="BO28" s="23"/>
      <c r="BP28" s="24"/>
      <c r="BQ28" s="23"/>
      <c r="BR28" s="24"/>
      <c r="BS28" s="23"/>
      <c r="BT28" s="24"/>
      <c r="BU28" s="23"/>
      <c r="BV28" s="24"/>
      <c r="BW28" s="23"/>
    </row>
    <row r="29" spans="1:75">
      <c r="A29" s="2" t="s">
        <v>26</v>
      </c>
      <c r="E29" s="25"/>
      <c r="F29" s="25">
        <f>1/(1+($D$14/$D$11))^F28</f>
        <v>0.83417559665569441</v>
      </c>
      <c r="G29" s="25">
        <f t="shared" ref="G29:BH29" si="1">1/(1+($D$14/$D$11))^G28</f>
        <v>0.8175386844275927</v>
      </c>
      <c r="H29" s="25">
        <f t="shared" si="1"/>
        <v>0.80123358105316078</v>
      </c>
      <c r="I29" s="25">
        <f t="shared" si="1"/>
        <v>0.78525366889122428</v>
      </c>
      <c r="J29" s="25">
        <f t="shared" si="1"/>
        <v>0.76959246228374978</v>
      </c>
      <c r="K29" s="25">
        <f t="shared" si="1"/>
        <v>0.75424360492355524</v>
      </c>
      <c r="L29" s="25">
        <f t="shared" si="1"/>
        <v>0.73920086727451895</v>
      </c>
      <c r="M29" s="25">
        <f t="shared" si="1"/>
        <v>0.72445814404323872</v>
      </c>
      <c r="N29" s="25">
        <f t="shared" si="1"/>
        <v>0.71000945170112095</v>
      </c>
      <c r="O29" s="25">
        <f t="shared" si="1"/>
        <v>0.69584892605588355</v>
      </c>
      <c r="P29" s="25">
        <f t="shared" si="1"/>
        <v>0.68197081987149843</v>
      </c>
      <c r="Q29" s="25">
        <f t="shared" si="1"/>
        <v>0.66836950053559885</v>
      </c>
      <c r="R29" s="25">
        <f t="shared" si="1"/>
        <v>0.65503944777341006</v>
      </c>
      <c r="S29" s="25">
        <f t="shared" si="1"/>
        <v>0.64197525140727185</v>
      </c>
      <c r="T29" s="25">
        <f t="shared" si="1"/>
        <v>0.62917160916084858</v>
      </c>
      <c r="U29" s="25">
        <f t="shared" si="1"/>
        <v>0.61662332450712842</v>
      </c>
      <c r="V29" s="25">
        <f t="shared" si="1"/>
        <v>0.60432530455934563</v>
      </c>
      <c r="W29" s="25">
        <f t="shared" si="1"/>
        <v>0.59227255800396483</v>
      </c>
      <c r="X29" s="25">
        <f t="shared" si="1"/>
        <v>0.58046019307489083</v>
      </c>
      <c r="Y29" s="25">
        <f t="shared" si="1"/>
        <v>0.56888341556808031</v>
      </c>
      <c r="Z29" s="25">
        <f t="shared" si="1"/>
        <v>0.55753752689575165</v>
      </c>
      <c r="AA29" s="25">
        <f t="shared" si="1"/>
        <v>0.54641792217940077</v>
      </c>
      <c r="AB29" s="25">
        <f t="shared" si="1"/>
        <v>0.53552008838085052</v>
      </c>
      <c r="AC29" s="25">
        <f t="shared" si="1"/>
        <v>0.52483960247057404</v>
      </c>
      <c r="AD29" s="25">
        <f t="shared" si="1"/>
        <v>0.51437212963255163</v>
      </c>
      <c r="AE29" s="25">
        <f t="shared" si="1"/>
        <v>0.50411342150492633</v>
      </c>
      <c r="AF29" s="25">
        <f t="shared" si="1"/>
        <v>0.49405931445575169</v>
      </c>
      <c r="AG29" s="25">
        <f t="shared" si="1"/>
        <v>0.48420572789312655</v>
      </c>
      <c r="AH29" s="25">
        <f t="shared" si="1"/>
        <v>0.47454866260903267</v>
      </c>
      <c r="AI29" s="25">
        <f t="shared" si="1"/>
        <v>0.46508419915620375</v>
      </c>
      <c r="AJ29" s="25">
        <f t="shared" si="1"/>
        <v>0.45580849625736641</v>
      </c>
      <c r="AK29" s="25">
        <f t="shared" si="1"/>
        <v>0.44671778924620592</v>
      </c>
      <c r="AL29" s="25">
        <f t="shared" si="1"/>
        <v>0.43780838853942855</v>
      </c>
      <c r="AM29" s="25">
        <f t="shared" si="1"/>
        <v>0.42907667813929384</v>
      </c>
      <c r="AN29" s="25">
        <f t="shared" si="1"/>
        <v>0.4205191141660154</v>
      </c>
      <c r="AO29" s="25">
        <f t="shared" si="1"/>
        <v>0.4121322234194299</v>
      </c>
      <c r="AP29" s="25">
        <f t="shared" si="1"/>
        <v>0.40391260196935352</v>
      </c>
      <c r="AQ29" s="25">
        <f t="shared" si="1"/>
        <v>0.39585691377405152</v>
      </c>
      <c r="AR29" s="25">
        <f t="shared" si="1"/>
        <v>0.38796188932626213</v>
      </c>
      <c r="AS29" s="25">
        <f t="shared" si="1"/>
        <v>0.38022432432622333</v>
      </c>
      <c r="AT29" s="25">
        <f t="shared" si="1"/>
        <v>0.37264107838116656</v>
      </c>
      <c r="AU29" s="25">
        <f t="shared" si="1"/>
        <v>0.36520907373074579</v>
      </c>
      <c r="AV29" s="25">
        <f t="shared" si="1"/>
        <v>0.35792529399788875</v>
      </c>
      <c r="AW29" s="25">
        <f t="shared" si="1"/>
        <v>0.35078678296455984</v>
      </c>
      <c r="AX29" s="25">
        <f t="shared" si="1"/>
        <v>0.34379064337194087</v>
      </c>
      <c r="AY29" s="25">
        <f t="shared" si="1"/>
        <v>0.3369340357445394</v>
      </c>
      <c r="AZ29" s="25">
        <f t="shared" si="1"/>
        <v>0.33021417723775121</v>
      </c>
      <c r="BA29" s="25">
        <f t="shared" si="1"/>
        <v>0.32362834050840505</v>
      </c>
      <c r="BB29" s="25">
        <f t="shared" si="1"/>
        <v>0.31717385260783559</v>
      </c>
      <c r="BC29" s="25">
        <f t="shared" si="1"/>
        <v>0.31084809389703094</v>
      </c>
      <c r="BD29" s="25">
        <f t="shared" si="1"/>
        <v>0.30464849698341834</v>
      </c>
      <c r="BE29" s="25">
        <f t="shared" si="1"/>
        <v>0.29857254567885361</v>
      </c>
      <c r="BF29" s="25">
        <f t="shared" si="1"/>
        <v>0.29261777397839328</v>
      </c>
      <c r="BG29" s="25">
        <f t="shared" si="1"/>
        <v>0.28678176505943376</v>
      </c>
      <c r="BH29" s="25">
        <f t="shared" si="1"/>
        <v>0.28106215030081227</v>
      </c>
      <c r="BI29" s="25"/>
      <c r="BJ29" s="25"/>
      <c r="BK29" s="25"/>
      <c r="BL29" s="25"/>
      <c r="BM29" s="25"/>
      <c r="BN29" s="25"/>
      <c r="BO29" s="25"/>
      <c r="BP29" s="25"/>
      <c r="BQ29" s="25"/>
      <c r="BR29" s="25"/>
      <c r="BS29" s="25"/>
      <c r="BT29" s="25"/>
      <c r="BU29" s="25"/>
      <c r="BV29" s="25"/>
      <c r="BW29" s="25"/>
    </row>
    <row r="30" spans="1:75">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AD32">
        <v>25</v>
      </c>
      <c r="BI32" s="23"/>
      <c r="BJ32" s="24"/>
      <c r="BK32" s="23"/>
      <c r="BL32" s="24"/>
      <c r="BM32" s="23"/>
      <c r="BN32" s="24"/>
      <c r="BO32" s="23"/>
      <c r="BP32" s="24"/>
      <c r="BQ32" s="23"/>
      <c r="BR32" s="24"/>
      <c r="BS32" s="23"/>
      <c r="BT32" s="24"/>
      <c r="BU32" s="23"/>
      <c r="BV32" s="24"/>
      <c r="BW32" s="23"/>
    </row>
    <row r="33" spans="1:75">
      <c r="A33" s="27"/>
      <c r="B33" s="26" t="s">
        <v>28</v>
      </c>
      <c r="C33" s="27"/>
      <c r="D33" s="27">
        <f>SUM(E33:CC33)</f>
        <v>-86757264.158401892</v>
      </c>
      <c r="E33" s="27"/>
      <c r="F33" s="27">
        <f t="shared" ref="F33:AD33" si="2">PMT($D$8,$D$12,$D$13)</f>
        <v>-3470290.5663360753</v>
      </c>
      <c r="G33" s="27">
        <f t="shared" si="2"/>
        <v>-3470290.5663360753</v>
      </c>
      <c r="H33" s="27">
        <f t="shared" si="2"/>
        <v>-3470290.5663360753</v>
      </c>
      <c r="I33" s="27">
        <f t="shared" si="2"/>
        <v>-3470290.5663360753</v>
      </c>
      <c r="J33" s="27">
        <f t="shared" si="2"/>
        <v>-3470290.5663360753</v>
      </c>
      <c r="K33" s="27">
        <f t="shared" si="2"/>
        <v>-3470290.5663360753</v>
      </c>
      <c r="L33" s="27">
        <f t="shared" si="2"/>
        <v>-3470290.5663360753</v>
      </c>
      <c r="M33" s="27">
        <f t="shared" si="2"/>
        <v>-3470290.5663360753</v>
      </c>
      <c r="N33" s="27">
        <f t="shared" si="2"/>
        <v>-3470290.5663360753</v>
      </c>
      <c r="O33" s="27">
        <f t="shared" si="2"/>
        <v>-3470290.5663360753</v>
      </c>
      <c r="P33" s="27">
        <f t="shared" si="2"/>
        <v>-3470290.5663360753</v>
      </c>
      <c r="Q33" s="27">
        <f t="shared" si="2"/>
        <v>-3470290.5663360753</v>
      </c>
      <c r="R33" s="27">
        <f t="shared" si="2"/>
        <v>-3470290.5663360753</v>
      </c>
      <c r="S33" s="27">
        <f t="shared" si="2"/>
        <v>-3470290.5663360753</v>
      </c>
      <c r="T33" s="27">
        <f t="shared" si="2"/>
        <v>-3470290.5663360753</v>
      </c>
      <c r="U33" s="27">
        <f t="shared" si="2"/>
        <v>-3470290.5663360753</v>
      </c>
      <c r="V33" s="27">
        <f t="shared" si="2"/>
        <v>-3470290.5663360753</v>
      </c>
      <c r="W33" s="27">
        <f t="shared" si="2"/>
        <v>-3470290.5663360753</v>
      </c>
      <c r="X33" s="27">
        <f t="shared" si="2"/>
        <v>-3470290.5663360753</v>
      </c>
      <c r="Y33" s="27">
        <f t="shared" si="2"/>
        <v>-3470290.5663360753</v>
      </c>
      <c r="Z33" s="27">
        <f t="shared" si="2"/>
        <v>-3470290.5663360753</v>
      </c>
      <c r="AA33" s="27">
        <f t="shared" si="2"/>
        <v>-3470290.5663360753</v>
      </c>
      <c r="AB33" s="27">
        <f t="shared" si="2"/>
        <v>-3470290.5663360753</v>
      </c>
      <c r="AC33" s="27">
        <f t="shared" si="2"/>
        <v>-3470290.5663360753</v>
      </c>
      <c r="AD33" s="27">
        <f t="shared" si="2"/>
        <v>-3470290.5663360753</v>
      </c>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8" si="3">SUM(E34:CC34)</f>
        <v>-83999999.999999985</v>
      </c>
      <c r="E34" s="27"/>
      <c r="F34" s="27">
        <f t="shared" ref="F34:AD34" si="4">PPMT($D$8,F32,$D$12,$D$13)</f>
        <v>-3260290.5663360753</v>
      </c>
      <c r="G34" s="27">
        <f t="shared" si="4"/>
        <v>-3268441.2927519158</v>
      </c>
      <c r="H34" s="27">
        <f t="shared" si="4"/>
        <v>-3276612.3959837952</v>
      </c>
      <c r="I34" s="27">
        <f t="shared" si="4"/>
        <v>-3284803.926973755</v>
      </c>
      <c r="J34" s="27">
        <f t="shared" si="4"/>
        <v>-3293015.936791189</v>
      </c>
      <c r="K34" s="27">
        <f t="shared" si="4"/>
        <v>-3301248.4766331669</v>
      </c>
      <c r="L34" s="27">
        <f t="shared" si="4"/>
        <v>-3309501.5978247495</v>
      </c>
      <c r="M34" s="27">
        <f t="shared" si="4"/>
        <v>-3317775.3518193122</v>
      </c>
      <c r="N34" s="27">
        <f t="shared" si="4"/>
        <v>-3326069.7901988602</v>
      </c>
      <c r="O34" s="27">
        <f t="shared" si="4"/>
        <v>-3334384.9646743573</v>
      </c>
      <c r="P34" s="27">
        <f t="shared" si="4"/>
        <v>-3342720.9270860427</v>
      </c>
      <c r="Q34" s="27">
        <f t="shared" si="4"/>
        <v>-3351077.729403758</v>
      </c>
      <c r="R34" s="27">
        <f t="shared" si="4"/>
        <v>-3359455.4237272674</v>
      </c>
      <c r="S34" s="27">
        <f t="shared" si="4"/>
        <v>-3367854.0622865856</v>
      </c>
      <c r="T34" s="27">
        <f t="shared" si="4"/>
        <v>-3376273.697442302</v>
      </c>
      <c r="U34" s="27">
        <f t="shared" si="4"/>
        <v>-3384714.381685908</v>
      </c>
      <c r="V34" s="27">
        <f t="shared" si="4"/>
        <v>-3393176.1676401231</v>
      </c>
      <c r="W34" s="27">
        <f t="shared" si="4"/>
        <v>-3401659.1080592228</v>
      </c>
      <c r="X34" s="27">
        <f t="shared" si="4"/>
        <v>-3410163.2558293715</v>
      </c>
      <c r="Y34" s="27">
        <f t="shared" si="4"/>
        <v>-3418688.6639689445</v>
      </c>
      <c r="Z34" s="27">
        <f t="shared" si="4"/>
        <v>-3427235.3856288674</v>
      </c>
      <c r="AA34" s="27">
        <f t="shared" si="4"/>
        <v>-3435803.4740929389</v>
      </c>
      <c r="AB34" s="27">
        <f t="shared" si="4"/>
        <v>-3444392.9827781715</v>
      </c>
      <c r="AC34" s="27">
        <f t="shared" si="4"/>
        <v>-3453003.9652351164</v>
      </c>
      <c r="AD34" s="27">
        <f t="shared" si="4"/>
        <v>-3461636.4751482047</v>
      </c>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-2757264.158401879</v>
      </c>
      <c r="E35" s="27"/>
      <c r="F35" s="27">
        <f t="shared" ref="F35:AD35" si="5">IPMT($D$8,F32,$D$12,$D13)</f>
        <v>-210000</v>
      </c>
      <c r="G35" s="27">
        <f t="shared" si="5"/>
        <v>-201849.27358415985</v>
      </c>
      <c r="H35" s="27">
        <f t="shared" si="5"/>
        <v>-193678.17035228008</v>
      </c>
      <c r="I35" s="27">
        <f t="shared" si="5"/>
        <v>-185486.63936232054</v>
      </c>
      <c r="J35" s="27">
        <f t="shared" si="5"/>
        <v>-177274.62954488618</v>
      </c>
      <c r="K35" s="27">
        <f t="shared" si="5"/>
        <v>-169042.08970290821</v>
      </c>
      <c r="L35" s="27">
        <f t="shared" si="5"/>
        <v>-160788.96851132528</v>
      </c>
      <c r="M35" s="27">
        <f t="shared" si="5"/>
        <v>-152515.2145167634</v>
      </c>
      <c r="N35" s="27">
        <f t="shared" si="5"/>
        <v>-144220.77613721511</v>
      </c>
      <c r="O35" s="27">
        <f t="shared" si="5"/>
        <v>-135905.60166171796</v>
      </c>
      <c r="P35" s="27">
        <f t="shared" si="5"/>
        <v>-127569.63925003207</v>
      </c>
      <c r="Q35" s="27">
        <f t="shared" si="5"/>
        <v>-119212.83693231696</v>
      </c>
      <c r="R35" s="27">
        <f t="shared" si="5"/>
        <v>-110835.14260880755</v>
      </c>
      <c r="S35" s="27">
        <f t="shared" si="5"/>
        <v>-102436.50404948941</v>
      </c>
      <c r="T35" s="27">
        <f t="shared" si="5"/>
        <v>-94016.868893772931</v>
      </c>
      <c r="U35" s="27">
        <f t="shared" si="5"/>
        <v>-85576.184650167197</v>
      </c>
      <c r="V35" s="27">
        <f t="shared" si="5"/>
        <v>-77114.39869595239</v>
      </c>
      <c r="W35" s="27">
        <f t="shared" si="5"/>
        <v>-68631.458276852092</v>
      </c>
      <c r="X35" s="27">
        <f t="shared" si="5"/>
        <v>-60127.310506704038</v>
      </c>
      <c r="Y35" s="27">
        <f t="shared" si="5"/>
        <v>-51601.902367130613</v>
      </c>
      <c r="Z35" s="27">
        <f t="shared" si="5"/>
        <v>-43055.180707208252</v>
      </c>
      <c r="AA35" s="27">
        <f t="shared" si="5"/>
        <v>-34487.092243136081</v>
      </c>
      <c r="AB35" s="27">
        <f t="shared" si="5"/>
        <v>-25897.583557903734</v>
      </c>
      <c r="AC35" s="27">
        <f t="shared" si="5"/>
        <v>-17286.601100958302</v>
      </c>
      <c r="AD35" s="27">
        <f t="shared" si="5"/>
        <v>-8654.0911878705137</v>
      </c>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84000000</v>
      </c>
      <c r="F36" s="34">
        <f>E36+F34</f>
        <v>80739709.43366392</v>
      </c>
      <c r="G36" s="34">
        <f t="shared" ref="G36:AD36" si="6">F$36+G$34</f>
        <v>77471268.140911996</v>
      </c>
      <c r="H36" s="34">
        <f t="shared" si="6"/>
        <v>74194655.744928196</v>
      </c>
      <c r="I36" s="34">
        <f t="shared" si="6"/>
        <v>70909851.817954436</v>
      </c>
      <c r="J36" s="34">
        <f t="shared" si="6"/>
        <v>67616835.881163239</v>
      </c>
      <c r="K36" s="34">
        <f t="shared" si="6"/>
        <v>64315587.404530071</v>
      </c>
      <c r="L36" s="34">
        <f t="shared" si="6"/>
        <v>61006085.806705318</v>
      </c>
      <c r="M36" s="34">
        <f t="shared" si="6"/>
        <v>57688310.454886004</v>
      </c>
      <c r="N36" s="34">
        <f t="shared" si="6"/>
        <v>54362240.664687142</v>
      </c>
      <c r="O36" s="34">
        <f t="shared" si="6"/>
        <v>51027855.700012788</v>
      </c>
      <c r="P36" s="34">
        <f t="shared" si="6"/>
        <v>47685134.772926748</v>
      </c>
      <c r="Q36" s="34">
        <f t="shared" si="6"/>
        <v>44334057.043522991</v>
      </c>
      <c r="R36" s="34">
        <f t="shared" si="6"/>
        <v>40974601.619795725</v>
      </c>
      <c r="S36" s="34">
        <f t="shared" si="6"/>
        <v>37606747.557509139</v>
      </c>
      <c r="T36" s="34">
        <f t="shared" si="6"/>
        <v>34230473.860066839</v>
      </c>
      <c r="U36" s="34">
        <f t="shared" si="6"/>
        <v>30845759.47838093</v>
      </c>
      <c r="V36" s="34">
        <f t="shared" si="6"/>
        <v>27452583.310740806</v>
      </c>
      <c r="W36" s="34">
        <f t="shared" si="6"/>
        <v>24050924.202681582</v>
      </c>
      <c r="X36" s="34">
        <f t="shared" si="6"/>
        <v>20640760.946852211</v>
      </c>
      <c r="Y36" s="34">
        <f t="shared" si="6"/>
        <v>17222072.282883268</v>
      </c>
      <c r="Z36" s="34">
        <f t="shared" si="6"/>
        <v>13794836.8972544</v>
      </c>
      <c r="AA36" s="34">
        <f t="shared" si="6"/>
        <v>10359033.423161462</v>
      </c>
      <c r="AB36" s="34">
        <f t="shared" si="6"/>
        <v>6914640.4403832909</v>
      </c>
      <c r="AC36" s="34">
        <f t="shared" si="6"/>
        <v>3461636.4751481744</v>
      </c>
      <c r="AD36" s="34">
        <f t="shared" si="6"/>
        <v>-3.0267983675003052E-8</v>
      </c>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-57430996.553470522</v>
      </c>
      <c r="E37" s="34"/>
      <c r="F37" s="34">
        <f t="shared" ref="F37:AD37" si="7">F33*F29</f>
        <v>-2894831.7037420231</v>
      </c>
      <c r="G37" s="34">
        <f t="shared" si="7"/>
        <v>-2837096.7841838808</v>
      </c>
      <c r="H37" s="34">
        <f t="shared" si="7"/>
        <v>-2780513.337760455</v>
      </c>
      <c r="I37" s="34">
        <f t="shared" si="7"/>
        <v>-2725058.3993340079</v>
      </c>
      <c r="J37" s="34">
        <f t="shared" si="7"/>
        <v>-2670709.4617866487</v>
      </c>
      <c r="K37" s="34">
        <f t="shared" si="7"/>
        <v>-2617444.4668855276</v>
      </c>
      <c r="L37" s="34">
        <f t="shared" si="7"/>
        <v>-2565241.7963302084</v>
      </c>
      <c r="M37" s="34">
        <f t="shared" si="7"/>
        <v>-2514080.2629785929</v>
      </c>
      <c r="N37" s="34">
        <f t="shared" si="7"/>
        <v>-2463939.1022478496</v>
      </c>
      <c r="O37" s="34">
        <f t="shared" si="7"/>
        <v>-2414797.963686822</v>
      </c>
      <c r="P37" s="34">
        <f t="shared" si="7"/>
        <v>-2366636.9027165398</v>
      </c>
      <c r="Q37" s="34">
        <f t="shared" si="7"/>
        <v>-2319436.3725354429</v>
      </c>
      <c r="R37" s="34">
        <f t="shared" si="7"/>
        <v>-2273177.2161860573</v>
      </c>
      <c r="S37" s="34">
        <f t="shared" si="7"/>
        <v>-2227840.6587798856</v>
      </c>
      <c r="T37" s="34">
        <f t="shared" si="7"/>
        <v>-2183408.299877381</v>
      </c>
      <c r="U37" s="34">
        <f t="shared" si="7"/>
        <v>-2139862.1060198764</v>
      </c>
      <c r="V37" s="34">
        <f t="shared" si="7"/>
        <v>-2097184.4034104729</v>
      </c>
      <c r="W37" s="34">
        <f t="shared" si="7"/>
        <v>-2055357.8707408952</v>
      </c>
      <c r="X37" s="34">
        <f t="shared" si="7"/>
        <v>-2014365.5321614104</v>
      </c>
      <c r="Y37" s="34">
        <f t="shared" si="7"/>
        <v>-1974190.7503909543</v>
      </c>
      <c r="Z37" s="34">
        <f t="shared" si="7"/>
        <v>-1934817.2199646728</v>
      </c>
      <c r="AA37" s="34">
        <f t="shared" si="7"/>
        <v>-1896228.9606161343</v>
      </c>
      <c r="AB37" s="34">
        <f t="shared" si="7"/>
        <v>-1858410.3107915269</v>
      </c>
      <c r="AC37" s="34">
        <f t="shared" si="7"/>
        <v>-1821345.9212932091</v>
      </c>
      <c r="AD37" s="34">
        <f t="shared" si="7"/>
        <v>-1785020.7490500407</v>
      </c>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-55461011.493172064</v>
      </c>
      <c r="E38" s="34"/>
      <c r="F38" s="34">
        <f t="shared" ref="F38:AD38" si="8">F34*F29</f>
        <v>-2719654.8284443272</v>
      </c>
      <c r="G38" s="34">
        <f t="shared" si="8"/>
        <v>-2672077.1946052215</v>
      </c>
      <c r="H38" s="34">
        <f t="shared" si="8"/>
        <v>-2625331.8837572737</v>
      </c>
      <c r="I38" s="34">
        <f t="shared" si="8"/>
        <v>-2579404.3352444423</v>
      </c>
      <c r="J38" s="34">
        <f t="shared" si="8"/>
        <v>-2534280.2431347603</v>
      </c>
      <c r="K38" s="34">
        <f t="shared" si="8"/>
        <v>-2489945.5517641949</v>
      </c>
      <c r="L38" s="34">
        <f t="shared" si="8"/>
        <v>-2446386.4513584613</v>
      </c>
      <c r="M38" s="34">
        <f t="shared" si="8"/>
        <v>-2403589.3737314222</v>
      </c>
      <c r="N38" s="34">
        <f t="shared" si="8"/>
        <v>-2361540.9880587552</v>
      </c>
      <c r="O38" s="34">
        <f t="shared" si="8"/>
        <v>-2320228.1967255366</v>
      </c>
      <c r="P38" s="34">
        <f t="shared" si="8"/>
        <v>-2279638.1312464839</v>
      </c>
      <c r="Q38" s="34">
        <f t="shared" si="8"/>
        <v>-2239758.1482575582</v>
      </c>
      <c r="R38" s="34">
        <f t="shared" si="8"/>
        <v>-2200575.8255776963</v>
      </c>
      <c r="S38" s="34">
        <f t="shared" si="8"/>
        <v>-2162078.9583394327</v>
      </c>
      <c r="T38" s="34">
        <f t="shared" si="8"/>
        <v>-2124255.5551872212</v>
      </c>
      <c r="U38" s="34">
        <f t="shared" si="8"/>
        <v>-2087093.8345422542</v>
      </c>
      <c r="V38" s="34">
        <f t="shared" si="8"/>
        <v>-2050582.2209326306</v>
      </c>
      <c r="W38" s="34">
        <f t="shared" si="8"/>
        <v>-2014709.3413877212</v>
      </c>
      <c r="X38" s="34">
        <f t="shared" si="8"/>
        <v>-1979464.0218956154</v>
      </c>
      <c r="Y38" s="34">
        <f t="shared" si="8"/>
        <v>-1944835.2839225302</v>
      </c>
      <c r="Z38" s="34">
        <f t="shared" si="8"/>
        <v>-1910812.3409931264</v>
      </c>
      <c r="AA38" s="34">
        <f t="shared" si="8"/>
        <v>-1877384.5953306304</v>
      </c>
      <c r="AB38" s="34">
        <f t="shared" si="8"/>
        <v>-1844541.6345557477</v>
      </c>
      <c r="AC38" s="34">
        <f t="shared" si="8"/>
        <v>-1812273.2284433143</v>
      </c>
      <c r="AD38" s="34">
        <f t="shared" si="8"/>
        <v>-1780569.3257357015</v>
      </c>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-1969985.0602984536</v>
      </c>
      <c r="E39" s="34"/>
      <c r="F39" s="34">
        <f t="shared" ref="F39:AD39" si="9">F35*F29</f>
        <v>-175176.87529769583</v>
      </c>
      <c r="G39" s="34">
        <f t="shared" si="9"/>
        <v>-165019.58957865927</v>
      </c>
      <c r="H39" s="34">
        <f t="shared" si="9"/>
        <v>-155181.45400318148</v>
      </c>
      <c r="I39" s="34">
        <f t="shared" si="9"/>
        <v>-145654.06408956557</v>
      </c>
      <c r="J39" s="34">
        <f t="shared" si="9"/>
        <v>-136429.21865188854</v>
      </c>
      <c r="K39" s="34">
        <f t="shared" si="9"/>
        <v>-127498.91512133248</v>
      </c>
      <c r="L39" s="34">
        <f t="shared" si="9"/>
        <v>-118855.34497174696</v>
      </c>
      <c r="M39" s="34">
        <f t="shared" si="9"/>
        <v>-110490.88924717084</v>
      </c>
      <c r="N39" s="34">
        <f t="shared" si="9"/>
        <v>-102398.11418909421</v>
      </c>
      <c r="O39" s="34">
        <f t="shared" si="9"/>
        <v>-94569.766961285146</v>
      </c>
      <c r="P39" s="34">
        <f t="shared" si="9"/>
        <v>-86998.771470055653</v>
      </c>
      <c r="Q39" s="34">
        <f t="shared" si="9"/>
        <v>-79678.224277884481</v>
      </c>
      <c r="R39" s="34">
        <f t="shared" si="9"/>
        <v>-72601.390608360452</v>
      </c>
      <c r="S39" s="34">
        <f t="shared" si="9"/>
        <v>-65761.700440452987</v>
      </c>
      <c r="T39" s="34">
        <f t="shared" si="9"/>
        <v>-59152.744690159641</v>
      </c>
      <c r="U39" s="34">
        <f t="shared" si="9"/>
        <v>-52768.271477621987</v>
      </c>
      <c r="V39" s="34">
        <f t="shared" si="9"/>
        <v>-46602.182477842231</v>
      </c>
      <c r="W39" s="34">
        <f t="shared" si="9"/>
        <v>-40648.529353173573</v>
      </c>
      <c r="X39" s="34">
        <f t="shared" si="9"/>
        <v>-34901.510265795339</v>
      </c>
      <c r="Y39" s="34">
        <f t="shared" si="9"/>
        <v>-29355.466468423871</v>
      </c>
      <c r="Z39" s="34">
        <f t="shared" si="9"/>
        <v>-24004.878971546568</v>
      </c>
      <c r="AA39" s="34">
        <f t="shared" si="9"/>
        <v>-18844.365285503747</v>
      </c>
      <c r="AB39" s="34">
        <f t="shared" si="9"/>
        <v>-13868.676235779069</v>
      </c>
      <c r="AC39" s="34">
        <f t="shared" si="9"/>
        <v>-9072.6928498943435</v>
      </c>
      <c r="AD39" s="34">
        <f t="shared" si="9"/>
        <v>-4451.4233143392548</v>
      </c>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 t="s">
        <v>24</v>
      </c>
      <c r="D43" s="2"/>
      <c r="E43" s="23" t="s">
        <v>25</v>
      </c>
      <c r="F43">
        <v>1</v>
      </c>
      <c r="G43">
        <v>2</v>
      </c>
      <c r="H43">
        <v>3</v>
      </c>
      <c r="I43">
        <v>4</v>
      </c>
      <c r="J43">
        <v>5</v>
      </c>
      <c r="K43">
        <v>6</v>
      </c>
      <c r="L43">
        <v>7</v>
      </c>
      <c r="M43">
        <v>8</v>
      </c>
      <c r="N43">
        <v>9</v>
      </c>
      <c r="BI43" s="23"/>
      <c r="BJ43" s="24"/>
      <c r="BK43" s="23"/>
      <c r="BL43" s="24"/>
      <c r="BM43" s="23"/>
      <c r="BN43" s="24"/>
      <c r="BO43" s="23"/>
      <c r="BP43" s="24"/>
      <c r="BQ43" s="23"/>
      <c r="BR43" s="24"/>
      <c r="BS43" s="23"/>
      <c r="BT43" s="24"/>
      <c r="BU43" s="23"/>
      <c r="BV43" s="24"/>
      <c r="BW43" s="23"/>
    </row>
    <row r="44" spans="1:75">
      <c r="A44" s="41"/>
      <c r="B44" s="26" t="s">
        <v>28</v>
      </c>
      <c r="C44" s="27"/>
      <c r="D44" s="27">
        <f t="shared" si="3"/>
        <v>-31232615.097024683</v>
      </c>
      <c r="E44" s="34"/>
      <c r="F44" s="34">
        <f t="shared" ref="F44:N44" si="10">PMT($D$8,$D$12,$D$13)</f>
        <v>-3470290.5663360753</v>
      </c>
      <c r="G44" s="34">
        <f t="shared" si="10"/>
        <v>-3470290.5663360753</v>
      </c>
      <c r="H44" s="34">
        <f t="shared" si="10"/>
        <v>-3470290.5663360753</v>
      </c>
      <c r="I44" s="34">
        <f t="shared" si="10"/>
        <v>-3470290.5663360753</v>
      </c>
      <c r="J44" s="34">
        <f t="shared" si="10"/>
        <v>-3470290.5663360753</v>
      </c>
      <c r="K44" s="34">
        <f t="shared" si="10"/>
        <v>-3470290.5663360753</v>
      </c>
      <c r="L44" s="34">
        <f t="shared" si="10"/>
        <v>-3470290.5663360753</v>
      </c>
      <c r="M44" s="34">
        <f t="shared" si="10"/>
        <v>-3470290.5663360753</v>
      </c>
      <c r="N44" s="34">
        <f t="shared" si="10"/>
        <v>-3470290.5663360753</v>
      </c>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-29637759.335312817</v>
      </c>
      <c r="E45" s="34"/>
      <c r="F45" s="34">
        <f>PPMT($D$8,F43, $D$12,$D$13)</f>
        <v>-3260290.5663360753</v>
      </c>
      <c r="G45" s="34">
        <f t="shared" ref="G45:N45" si="11">PPMT($D$8,G43, $D$12,$D$13)</f>
        <v>-3268441.2927519158</v>
      </c>
      <c r="H45" s="34">
        <f t="shared" si="11"/>
        <v>-3276612.3959837952</v>
      </c>
      <c r="I45" s="34">
        <f t="shared" si="11"/>
        <v>-3284803.926973755</v>
      </c>
      <c r="J45" s="34">
        <f t="shared" si="11"/>
        <v>-3293015.936791189</v>
      </c>
      <c r="K45" s="34">
        <f t="shared" si="11"/>
        <v>-3301248.4766331669</v>
      </c>
      <c r="L45" s="34">
        <f t="shared" si="11"/>
        <v>-3309501.5978247495</v>
      </c>
      <c r="M45" s="34">
        <f t="shared" si="11"/>
        <v>-3317775.3518193122</v>
      </c>
      <c r="N45" s="34">
        <f t="shared" si="11"/>
        <v>-3326069.7901988602</v>
      </c>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-1594855.7617118587</v>
      </c>
      <c r="E46" s="27"/>
      <c r="F46" s="34">
        <f>IPMT($D$8, F43, $D$12,$D$13)</f>
        <v>-210000</v>
      </c>
      <c r="G46" s="34">
        <f t="shared" ref="G46:N46" si="12">IPMT($D$8, G43, $D$12,$D$13)</f>
        <v>-201849.27358415985</v>
      </c>
      <c r="H46" s="34">
        <f t="shared" si="12"/>
        <v>-193678.17035228008</v>
      </c>
      <c r="I46" s="34">
        <f t="shared" si="12"/>
        <v>-185486.63936232054</v>
      </c>
      <c r="J46" s="34">
        <f t="shared" si="12"/>
        <v>-177274.62954488618</v>
      </c>
      <c r="K46" s="34">
        <f t="shared" si="12"/>
        <v>-169042.08970290821</v>
      </c>
      <c r="L46" s="34">
        <f t="shared" si="12"/>
        <v>-160788.96851132528</v>
      </c>
      <c r="M46" s="34">
        <f t="shared" si="12"/>
        <v>-152515.2145167634</v>
      </c>
      <c r="N46" s="34">
        <f t="shared" si="12"/>
        <v>-144220.77613721511</v>
      </c>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84000000</v>
      </c>
      <c r="F47" s="27">
        <f t="shared" ref="F47:N47" si="13">E47+F45</f>
        <v>80739709.43366392</v>
      </c>
      <c r="G47" s="27">
        <f t="shared" si="13"/>
        <v>77471268.140911996</v>
      </c>
      <c r="H47" s="27">
        <f t="shared" si="13"/>
        <v>74194655.744928196</v>
      </c>
      <c r="I47" s="27">
        <f t="shared" si="13"/>
        <v>70909851.817954436</v>
      </c>
      <c r="J47" s="27">
        <f t="shared" si="13"/>
        <v>67616835.881163239</v>
      </c>
      <c r="K47" s="27">
        <f t="shared" si="13"/>
        <v>64315587.404530071</v>
      </c>
      <c r="L47" s="27">
        <f t="shared" si="13"/>
        <v>61006085.806705318</v>
      </c>
      <c r="M47" s="27">
        <f t="shared" si="13"/>
        <v>57688310.454886004</v>
      </c>
      <c r="N47" s="27">
        <f t="shared" si="13"/>
        <v>54362240.664687142</v>
      </c>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-24068915.31524919</v>
      </c>
      <c r="E48" s="27"/>
      <c r="F48" s="27">
        <f t="shared" ref="F48:N48" si="14">F44*F29</f>
        <v>-2894831.7037420231</v>
      </c>
      <c r="G48" s="27">
        <f t="shared" si="14"/>
        <v>-2837096.7841838808</v>
      </c>
      <c r="H48" s="27">
        <f t="shared" si="14"/>
        <v>-2780513.337760455</v>
      </c>
      <c r="I48" s="27">
        <f t="shared" si="14"/>
        <v>-2725058.3993340079</v>
      </c>
      <c r="J48" s="27">
        <f t="shared" si="14"/>
        <v>-2670709.4617866487</v>
      </c>
      <c r="K48" s="27">
        <f t="shared" si="14"/>
        <v>-2617444.4668855276</v>
      </c>
      <c r="L48" s="27">
        <f t="shared" si="14"/>
        <v>-2565241.7963302084</v>
      </c>
      <c r="M48" s="27">
        <f t="shared" si="14"/>
        <v>-2514080.2629785929</v>
      </c>
      <c r="N48" s="27">
        <f t="shared" si="14"/>
        <v>-2463939.1022478496</v>
      </c>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-22832210.850098856</v>
      </c>
      <c r="E49" s="27"/>
      <c r="F49" s="27">
        <f t="shared" ref="F49:N49" si="15">F45*F29</f>
        <v>-2719654.8284443272</v>
      </c>
      <c r="G49" s="27">
        <f t="shared" si="15"/>
        <v>-2672077.1946052215</v>
      </c>
      <c r="H49" s="27">
        <f t="shared" si="15"/>
        <v>-2625331.8837572737</v>
      </c>
      <c r="I49" s="27">
        <f t="shared" si="15"/>
        <v>-2579404.3352444423</v>
      </c>
      <c r="J49" s="27">
        <f t="shared" si="15"/>
        <v>-2534280.2431347603</v>
      </c>
      <c r="K49" s="27">
        <f t="shared" si="15"/>
        <v>-2489945.5517641949</v>
      </c>
      <c r="L49" s="27">
        <f t="shared" si="15"/>
        <v>-2446386.4513584613</v>
      </c>
      <c r="M49" s="27">
        <f t="shared" si="15"/>
        <v>-2403589.3737314222</v>
      </c>
      <c r="N49" s="27">
        <f t="shared" si="15"/>
        <v>-2361540.9880587552</v>
      </c>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-1236704.4651503353</v>
      </c>
      <c r="E50" s="27"/>
      <c r="F50" s="27">
        <f t="shared" ref="F50:N50" si="16">F46*F29</f>
        <v>-175176.87529769583</v>
      </c>
      <c r="G50" s="27">
        <f t="shared" si="16"/>
        <v>-165019.58957865927</v>
      </c>
      <c r="H50" s="27">
        <f t="shared" si="16"/>
        <v>-155181.45400318148</v>
      </c>
      <c r="I50" s="27">
        <f t="shared" si="16"/>
        <v>-145654.06408956557</v>
      </c>
      <c r="J50" s="27">
        <f t="shared" si="16"/>
        <v>-136429.21865188854</v>
      </c>
      <c r="K50" s="27">
        <f t="shared" si="16"/>
        <v>-127498.91512133248</v>
      </c>
      <c r="L50" s="27">
        <f t="shared" si="16"/>
        <v>-118855.34497174696</v>
      </c>
      <c r="M50" s="27">
        <f t="shared" si="16"/>
        <v>-110490.88924717084</v>
      </c>
      <c r="N50" s="27">
        <f t="shared" si="16"/>
        <v>-102398.11418909421</v>
      </c>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 t="s">
        <v>24</v>
      </c>
      <c r="D52" s="2"/>
      <c r="E52" s="23"/>
      <c r="O52">
        <v>1</v>
      </c>
      <c r="P52">
        <v>2</v>
      </c>
      <c r="Q52">
        <v>3</v>
      </c>
      <c r="R52">
        <v>4</v>
      </c>
      <c r="S52">
        <v>5</v>
      </c>
      <c r="T52">
        <v>6</v>
      </c>
      <c r="BI52" s="23"/>
      <c r="BJ52" s="24"/>
      <c r="BK52" s="23"/>
      <c r="BL52" s="24"/>
      <c r="BM52" s="23"/>
      <c r="BN52" s="24"/>
      <c r="BO52" s="23"/>
      <c r="BP52" s="24"/>
      <c r="BQ52" s="23"/>
      <c r="BR52" s="24"/>
      <c r="BS52" s="23"/>
      <c r="BT52" s="24"/>
      <c r="BU52" s="23"/>
      <c r="BV52" s="24"/>
      <c r="BW52" s="23"/>
    </row>
    <row r="53" spans="1:75">
      <c r="A53" s="41"/>
      <c r="B53" s="26" t="s">
        <v>28</v>
      </c>
      <c r="C53" s="27"/>
      <c r="D53" s="27">
        <f t="shared" si="3"/>
        <v>-18279633.33612708</v>
      </c>
      <c r="E53" s="34"/>
      <c r="F53" s="34"/>
      <c r="G53" s="34"/>
      <c r="H53" s="34"/>
      <c r="I53" s="34"/>
      <c r="J53" s="34"/>
      <c r="K53" s="34"/>
      <c r="L53" s="34"/>
      <c r="M53" s="34"/>
      <c r="N53" s="34"/>
      <c r="O53" s="34">
        <f t="shared" ref="O53:T53" si="17">PMT($D$8,6,$D$24/3)</f>
        <v>-3046605.55602118</v>
      </c>
      <c r="P53" s="34">
        <f t="shared" si="17"/>
        <v>-3046605.55602118</v>
      </c>
      <c r="Q53" s="34">
        <f t="shared" si="17"/>
        <v>-3046605.55602118</v>
      </c>
      <c r="R53" s="34">
        <f t="shared" si="17"/>
        <v>-3046605.55602118</v>
      </c>
      <c r="S53" s="34">
        <f t="shared" si="17"/>
        <v>-3046605.55602118</v>
      </c>
      <c r="T53" s="34">
        <f t="shared" si="17"/>
        <v>-3046605.55602118</v>
      </c>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-18120746.888229046</v>
      </c>
      <c r="E54" s="34"/>
      <c r="F54" s="34"/>
      <c r="G54" s="34"/>
      <c r="H54" s="34"/>
      <c r="I54" s="34"/>
      <c r="J54" s="34"/>
      <c r="K54" s="34"/>
      <c r="L54" s="34"/>
      <c r="M54" s="34"/>
      <c r="N54" s="34"/>
      <c r="O54" s="34">
        <f>PPMT($D$8,O52,6,$D$24/3)</f>
        <v>-3001303.6888006073</v>
      </c>
      <c r="P54" s="34">
        <f t="shared" ref="P54:T54" si="18">PPMT($D$8,P52,6,$D$24/3)</f>
        <v>-3008806.9480226096</v>
      </c>
      <c r="Q54" s="34">
        <f t="shared" si="18"/>
        <v>-3016328.9653926655</v>
      </c>
      <c r="R54" s="34">
        <f t="shared" si="18"/>
        <v>-3023869.7878061472</v>
      </c>
      <c r="S54" s="34">
        <f t="shared" si="18"/>
        <v>-3031429.4622756625</v>
      </c>
      <c r="T54" s="34">
        <f t="shared" si="18"/>
        <v>-3039008.0359313521</v>
      </c>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-158886.44789803712</v>
      </c>
      <c r="E55" s="27"/>
      <c r="F55" s="27"/>
      <c r="G55" s="27"/>
      <c r="H55" s="27"/>
      <c r="I55" s="27"/>
      <c r="J55" s="27"/>
      <c r="K55" s="27"/>
      <c r="L55" s="27"/>
      <c r="M55" s="27"/>
      <c r="N55" s="27"/>
      <c r="O55" s="34">
        <f>IPMT($D$8,O52,6,$D$24/3)</f>
        <v>-45301.867220572618</v>
      </c>
      <c r="P55" s="34">
        <f t="shared" ref="P55:T55" si="19">IPMT($D$8,P52,6,$D$24/3)</f>
        <v>-37798.607998571097</v>
      </c>
      <c r="Q55" s="34">
        <f t="shared" si="19"/>
        <v>-30276.590628514568</v>
      </c>
      <c r="R55" s="34">
        <f t="shared" si="19"/>
        <v>-22735.768215032906</v>
      </c>
      <c r="S55" s="34">
        <f t="shared" si="19"/>
        <v>-15176.093745517535</v>
      </c>
      <c r="T55" s="34">
        <f t="shared" si="19"/>
        <v>-7597.5200898283802</v>
      </c>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54362240.664687142</v>
      </c>
      <c r="F56" s="27"/>
      <c r="G56" s="27"/>
      <c r="H56" s="27"/>
      <c r="I56" s="27"/>
      <c r="J56" s="27"/>
      <c r="K56" s="27"/>
      <c r="L56" s="27"/>
      <c r="M56" s="27"/>
      <c r="N56" s="27"/>
      <c r="O56" s="27">
        <f>E56+O54</f>
        <v>51360936.975886531</v>
      </c>
      <c r="P56" s="27">
        <f>O56+P54</f>
        <v>48352130.02786392</v>
      </c>
      <c r="Q56" s="27">
        <f t="shared" ref="Q56:T56" si="20">P56+Q54</f>
        <v>45335801.062471256</v>
      </c>
      <c r="R56" s="27">
        <f t="shared" si="20"/>
        <v>42311931.27466511</v>
      </c>
      <c r="S56" s="27">
        <f t="shared" si="20"/>
        <v>39280501.812389448</v>
      </c>
      <c r="T56" s="27">
        <f t="shared" si="20"/>
        <v>36241493.776458099</v>
      </c>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-12102261.435870141</v>
      </c>
      <c r="E57" s="27"/>
      <c r="F57" s="27"/>
      <c r="G57" s="27"/>
      <c r="H57" s="27"/>
      <c r="I57" s="27"/>
      <c r="J57" s="27"/>
      <c r="K57" s="27"/>
      <c r="L57" s="27"/>
      <c r="M57" s="27"/>
      <c r="N57" s="27"/>
      <c r="O57" s="27">
        <f>O53*O$29</f>
        <v>-2119977.2042732262</v>
      </c>
      <c r="P57" s="27">
        <f t="shared" ref="P57:T59" si="21">P53*P$29</f>
        <v>-2077696.0888648266</v>
      </c>
      <c r="Q57" s="27">
        <f t="shared" si="21"/>
        <v>-2036258.2338068564</v>
      </c>
      <c r="R57" s="27">
        <f t="shared" si="21"/>
        <v>-1995646.8209995166</v>
      </c>
      <c r="S57" s="27">
        <f t="shared" si="21"/>
        <v>-1955845.3677654883</v>
      </c>
      <c r="T57" s="27">
        <f t="shared" si="21"/>
        <v>-1916837.7201602277</v>
      </c>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-11995309.037178805</v>
      </c>
      <c r="E58" s="27"/>
      <c r="F58" s="27"/>
      <c r="G58" s="27"/>
      <c r="H58" s="27"/>
      <c r="I58" s="27"/>
      <c r="J58" s="27"/>
      <c r="K58" s="27"/>
      <c r="L58" s="27"/>
      <c r="M58" s="27"/>
      <c r="N58" s="27"/>
      <c r="O58" s="27">
        <f>O54*O$29</f>
        <v>-2088453.9486194644</v>
      </c>
      <c r="P58" s="27">
        <f t="shared" si="21"/>
        <v>-2051918.54117804</v>
      </c>
      <c r="Q58" s="27">
        <f t="shared" si="21"/>
        <v>-2016022.2840505554</v>
      </c>
      <c r="R58" s="27">
        <f t="shared" si="21"/>
        <v>-1980753.9959432373</v>
      </c>
      <c r="S58" s="27">
        <f t="shared" si="21"/>
        <v>-1946102.6911678293</v>
      </c>
      <c r="T58" s="27">
        <f t="shared" si="21"/>
        <v>-1912057.5762196786</v>
      </c>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-106952.39869133724</v>
      </c>
      <c r="E59" s="27"/>
      <c r="F59" s="27"/>
      <c r="G59" s="27"/>
      <c r="H59" s="27"/>
      <c r="I59" s="27"/>
      <c r="J59" s="27"/>
      <c r="K59" s="27"/>
      <c r="L59" s="27"/>
      <c r="M59" s="27"/>
      <c r="N59" s="27"/>
      <c r="O59" s="27">
        <f>O55*O$29</f>
        <v>-31523.255653761691</v>
      </c>
      <c r="P59" s="27">
        <f t="shared" si="21"/>
        <v>-25777.547686786911</v>
      </c>
      <c r="Q59" s="27">
        <f t="shared" si="21"/>
        <v>-20235.949756301074</v>
      </c>
      <c r="R59" s="27">
        <f t="shared" si="21"/>
        <v>-14892.825056279404</v>
      </c>
      <c r="S59" s="27">
        <f t="shared" si="21"/>
        <v>-9742.676597658945</v>
      </c>
      <c r="T59" s="27">
        <f t="shared" si="21"/>
        <v>-4780.1439405491965</v>
      </c>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 t="s">
        <v>24</v>
      </c>
      <c r="D61" s="2"/>
      <c r="E61" s="23" t="s">
        <v>25</v>
      </c>
      <c r="U61">
        <v>1</v>
      </c>
      <c r="V61">
        <v>2</v>
      </c>
      <c r="W61">
        <v>3</v>
      </c>
      <c r="X61">
        <v>4</v>
      </c>
      <c r="Y61">
        <v>5</v>
      </c>
      <c r="Z61">
        <v>6</v>
      </c>
      <c r="AA61">
        <v>7</v>
      </c>
      <c r="AB61">
        <v>8</v>
      </c>
      <c r="AC61">
        <v>9</v>
      </c>
      <c r="AD61">
        <v>10</v>
      </c>
      <c r="AE61">
        <v>11</v>
      </c>
      <c r="AF61">
        <v>12</v>
      </c>
      <c r="AG61">
        <v>13</v>
      </c>
      <c r="AH61">
        <v>14</v>
      </c>
      <c r="AI61">
        <v>15</v>
      </c>
      <c r="AJ61">
        <v>16</v>
      </c>
      <c r="AK61">
        <v>17</v>
      </c>
      <c r="AL61">
        <v>18</v>
      </c>
      <c r="AM61">
        <v>19</v>
      </c>
      <c r="AN61">
        <v>20</v>
      </c>
      <c r="AO61">
        <v>21</v>
      </c>
      <c r="AP61">
        <v>22</v>
      </c>
      <c r="AQ61">
        <v>23</v>
      </c>
      <c r="AR61">
        <v>24</v>
      </c>
      <c r="AS61">
        <v>25</v>
      </c>
      <c r="AT61">
        <v>26</v>
      </c>
      <c r="AU61">
        <v>27</v>
      </c>
      <c r="AV61">
        <v>28</v>
      </c>
      <c r="AW61">
        <v>29</v>
      </c>
      <c r="AX61">
        <v>30</v>
      </c>
      <c r="AY61">
        <v>31</v>
      </c>
      <c r="AZ61">
        <v>32</v>
      </c>
      <c r="BA61">
        <v>33</v>
      </c>
      <c r="BB61">
        <v>34</v>
      </c>
      <c r="BC61">
        <v>35</v>
      </c>
      <c r="BD61">
        <v>36</v>
      </c>
      <c r="BE61">
        <v>37</v>
      </c>
      <c r="BF61">
        <v>38</v>
      </c>
      <c r="BG61">
        <v>39</v>
      </c>
      <c r="BH61">
        <v>40</v>
      </c>
      <c r="BI61" s="23"/>
      <c r="BJ61" s="24"/>
      <c r="BK61" s="23"/>
      <c r="BL61" s="24"/>
      <c r="BM61" s="23"/>
      <c r="BN61" s="24"/>
      <c r="BO61" s="23"/>
      <c r="BP61" s="24"/>
      <c r="BQ61" s="23"/>
      <c r="BR61" s="24"/>
      <c r="BS61" s="23"/>
      <c r="BT61" s="24"/>
      <c r="BU61" s="23"/>
      <c r="BV61" s="24"/>
      <c r="BW61" s="23"/>
    </row>
    <row r="62" spans="1:75">
      <c r="A62" s="41"/>
      <c r="B62" s="26" t="s">
        <v>28</v>
      </c>
      <c r="C62" s="27"/>
      <c r="D62" s="27">
        <f t="shared" si="3"/>
        <v>-48457923.925078802</v>
      </c>
      <c r="E62" s="34"/>
      <c r="F62" s="34"/>
      <c r="G62" s="34"/>
      <c r="H62" s="34"/>
      <c r="I62" s="34"/>
      <c r="J62" s="34"/>
      <c r="K62" s="34"/>
      <c r="L62" s="34"/>
      <c r="M62" s="34"/>
      <c r="N62" s="34"/>
      <c r="O62" s="34"/>
      <c r="P62" s="34"/>
      <c r="Q62" s="34"/>
      <c r="R62" s="34"/>
      <c r="S62" s="34"/>
      <c r="T62" s="34"/>
      <c r="U62" s="34">
        <f t="shared" ref="U62:BH62" si="22">PMT($D$18,$D$22-$T$32,$E$65)</f>
        <v>-1211448.0981269698</v>
      </c>
      <c r="V62" s="34">
        <f t="shared" si="22"/>
        <v>-1211448.0981269698</v>
      </c>
      <c r="W62" s="34">
        <f t="shared" si="22"/>
        <v>-1211448.0981269698</v>
      </c>
      <c r="X62" s="34">
        <f t="shared" si="22"/>
        <v>-1211448.0981269698</v>
      </c>
      <c r="Y62" s="34">
        <f t="shared" si="22"/>
        <v>-1211448.0981269698</v>
      </c>
      <c r="Z62" s="34">
        <f t="shared" si="22"/>
        <v>-1211448.0981269698</v>
      </c>
      <c r="AA62" s="34">
        <f t="shared" si="22"/>
        <v>-1211448.0981269698</v>
      </c>
      <c r="AB62" s="34">
        <f t="shared" si="22"/>
        <v>-1211448.0981269698</v>
      </c>
      <c r="AC62" s="34">
        <f t="shared" si="22"/>
        <v>-1211448.0981269698</v>
      </c>
      <c r="AD62" s="34">
        <f t="shared" si="22"/>
        <v>-1211448.0981269698</v>
      </c>
      <c r="AE62" s="34">
        <f t="shared" si="22"/>
        <v>-1211448.0981269698</v>
      </c>
      <c r="AF62" s="34">
        <f t="shared" si="22"/>
        <v>-1211448.0981269698</v>
      </c>
      <c r="AG62" s="34">
        <f t="shared" si="22"/>
        <v>-1211448.0981269698</v>
      </c>
      <c r="AH62" s="34">
        <f t="shared" si="22"/>
        <v>-1211448.0981269698</v>
      </c>
      <c r="AI62" s="34">
        <f t="shared" si="22"/>
        <v>-1211448.0981269698</v>
      </c>
      <c r="AJ62" s="34">
        <f t="shared" si="22"/>
        <v>-1211448.0981269698</v>
      </c>
      <c r="AK62" s="34">
        <f t="shared" si="22"/>
        <v>-1211448.0981269698</v>
      </c>
      <c r="AL62" s="34">
        <f t="shared" si="22"/>
        <v>-1211448.0981269698</v>
      </c>
      <c r="AM62" s="34">
        <f t="shared" si="22"/>
        <v>-1211448.0981269698</v>
      </c>
      <c r="AN62" s="34">
        <f t="shared" si="22"/>
        <v>-1211448.0981269698</v>
      </c>
      <c r="AO62" s="34">
        <f t="shared" si="22"/>
        <v>-1211448.0981269698</v>
      </c>
      <c r="AP62" s="34">
        <f t="shared" si="22"/>
        <v>-1211448.0981269698</v>
      </c>
      <c r="AQ62" s="34">
        <f t="shared" si="22"/>
        <v>-1211448.0981269698</v>
      </c>
      <c r="AR62" s="34">
        <f t="shared" si="22"/>
        <v>-1211448.0981269698</v>
      </c>
      <c r="AS62" s="34">
        <f t="shared" si="22"/>
        <v>-1211448.0981269698</v>
      </c>
      <c r="AT62" s="34">
        <f t="shared" si="22"/>
        <v>-1211448.0981269698</v>
      </c>
      <c r="AU62" s="34">
        <f t="shared" si="22"/>
        <v>-1211448.0981269698</v>
      </c>
      <c r="AV62" s="34">
        <f t="shared" si="22"/>
        <v>-1211448.0981269698</v>
      </c>
      <c r="AW62" s="34">
        <f t="shared" si="22"/>
        <v>-1211448.0981269698</v>
      </c>
      <c r="AX62" s="34">
        <f t="shared" si="22"/>
        <v>-1211448.0981269698</v>
      </c>
      <c r="AY62" s="34">
        <f t="shared" si="22"/>
        <v>-1211448.0981269698</v>
      </c>
      <c r="AZ62" s="34">
        <f t="shared" si="22"/>
        <v>-1211448.0981269698</v>
      </c>
      <c r="BA62" s="34">
        <f t="shared" si="22"/>
        <v>-1211448.0981269698</v>
      </c>
      <c r="BB62" s="34">
        <f t="shared" si="22"/>
        <v>-1211448.0981269698</v>
      </c>
      <c r="BC62" s="34">
        <f t="shared" si="22"/>
        <v>-1211448.0981269698</v>
      </c>
      <c r="BD62" s="34">
        <f t="shared" si="22"/>
        <v>-1211448.0981269698</v>
      </c>
      <c r="BE62" s="34">
        <f t="shared" si="22"/>
        <v>-1211448.0981269698</v>
      </c>
      <c r="BF62" s="34">
        <f t="shared" si="22"/>
        <v>-1211448.0981269698</v>
      </c>
      <c r="BG62" s="34">
        <f t="shared" si="22"/>
        <v>-1211448.0981269698</v>
      </c>
      <c r="BH62" s="34">
        <f t="shared" si="22"/>
        <v>-1211448.0981269698</v>
      </c>
    </row>
    <row r="63" spans="1:75">
      <c r="A63" s="41"/>
      <c r="B63" s="27"/>
      <c r="C63" s="27" t="s">
        <v>29</v>
      </c>
      <c r="D63" s="27">
        <f t="shared" si="3"/>
        <v>-36241493.776458099</v>
      </c>
      <c r="E63" s="34"/>
      <c r="F63" s="34"/>
      <c r="G63" s="34"/>
      <c r="H63" s="34"/>
      <c r="I63" s="34"/>
      <c r="J63" s="34"/>
      <c r="K63" s="34"/>
      <c r="L63" s="34"/>
      <c r="M63" s="34"/>
      <c r="N63" s="34"/>
      <c r="O63" s="34"/>
      <c r="P63" s="34"/>
      <c r="Q63" s="34"/>
      <c r="R63" s="34"/>
      <c r="S63" s="34"/>
      <c r="T63" s="34"/>
      <c r="U63" s="34">
        <f t="shared" ref="U63:BH63" si="23">PPMT($D$18, U61, $D$23,$E$65)</f>
        <v>-667825.69148009818</v>
      </c>
      <c r="V63" s="34">
        <f t="shared" si="23"/>
        <v>-677843.07685229962</v>
      </c>
      <c r="W63" s="34">
        <f t="shared" si="23"/>
        <v>-688010.72300508409</v>
      </c>
      <c r="X63" s="34">
        <f t="shared" si="23"/>
        <v>-698330.88385016029</v>
      </c>
      <c r="Y63" s="34">
        <f t="shared" si="23"/>
        <v>-708805.84710791276</v>
      </c>
      <c r="Z63" s="34">
        <f t="shared" si="23"/>
        <v>-719437.93481453136</v>
      </c>
      <c r="AA63" s="34">
        <f t="shared" si="23"/>
        <v>-730229.50383674924</v>
      </c>
      <c r="AB63" s="34">
        <f t="shared" si="23"/>
        <v>-741182.94639430067</v>
      </c>
      <c r="AC63" s="34">
        <f t="shared" si="23"/>
        <v>-752300.69059021503</v>
      </c>
      <c r="AD63" s="34">
        <f t="shared" si="23"/>
        <v>-763585.2009490683</v>
      </c>
      <c r="AE63" s="34">
        <f t="shared" si="23"/>
        <v>-775038.97896330431</v>
      </c>
      <c r="AF63" s="34">
        <f t="shared" si="23"/>
        <v>-786664.56364775402</v>
      </c>
      <c r="AG63" s="34">
        <f t="shared" si="23"/>
        <v>-798464.53210247029</v>
      </c>
      <c r="AH63" s="34">
        <f t="shared" si="23"/>
        <v>-810441.50008400728</v>
      </c>
      <c r="AI63" s="34">
        <f t="shared" si="23"/>
        <v>-822598.12258526753</v>
      </c>
      <c r="AJ63" s="34">
        <f t="shared" si="23"/>
        <v>-834937.09442404646</v>
      </c>
      <c r="AK63" s="34">
        <f t="shared" si="23"/>
        <v>-847461.15084040712</v>
      </c>
      <c r="AL63" s="34">
        <f t="shared" si="23"/>
        <v>-860173.06810301321</v>
      </c>
      <c r="AM63" s="34">
        <f t="shared" si="23"/>
        <v>-873075.66412455845</v>
      </c>
      <c r="AN63" s="34">
        <f t="shared" si="23"/>
        <v>-886171.79908642685</v>
      </c>
      <c r="AO63" s="34">
        <f t="shared" si="23"/>
        <v>-899464.3760727233</v>
      </c>
      <c r="AP63" s="34">
        <f t="shared" si="23"/>
        <v>-912956.34171381406</v>
      </c>
      <c r="AQ63" s="34">
        <f t="shared" si="23"/>
        <v>-926650.68683952128</v>
      </c>
      <c r="AR63" s="34">
        <f t="shared" si="23"/>
        <v>-940550.44714211416</v>
      </c>
      <c r="AS63" s="34">
        <f t="shared" si="23"/>
        <v>-954658.70384924591</v>
      </c>
      <c r="AT63" s="34">
        <f t="shared" si="23"/>
        <v>-968978.5844069845</v>
      </c>
      <c r="AU63" s="34">
        <f t="shared" si="23"/>
        <v>-983513.26317308925</v>
      </c>
      <c r="AV63" s="34">
        <f t="shared" si="23"/>
        <v>-998265.96212068561</v>
      </c>
      <c r="AW63" s="34">
        <f t="shared" si="23"/>
        <v>-1013239.9515524958</v>
      </c>
      <c r="AX63" s="34">
        <f t="shared" si="23"/>
        <v>-1028438.5508257833</v>
      </c>
      <c r="AY63" s="34">
        <f t="shared" si="23"/>
        <v>-1043865.1290881701</v>
      </c>
      <c r="AZ63" s="34">
        <f t="shared" si="23"/>
        <v>-1059523.1060244925</v>
      </c>
      <c r="BA63" s="34">
        <f t="shared" si="23"/>
        <v>-1075415.9526148599</v>
      </c>
      <c r="BB63" s="34">
        <f t="shared" si="23"/>
        <v>-1091547.1919040829</v>
      </c>
      <c r="BC63" s="34">
        <f t="shared" si="23"/>
        <v>-1107920.3997826441</v>
      </c>
      <c r="BD63" s="34">
        <f t="shared" si="23"/>
        <v>-1124539.2057793839</v>
      </c>
      <c r="BE63" s="34">
        <f t="shared" si="23"/>
        <v>-1141407.2938660744</v>
      </c>
      <c r="BF63" s="34">
        <f t="shared" si="23"/>
        <v>-1158528.4032740658</v>
      </c>
      <c r="BG63" s="34">
        <f t="shared" si="23"/>
        <v>-1175906.3293231765</v>
      </c>
      <c r="BH63" s="34">
        <f t="shared" si="23"/>
        <v>-1193544.9242630242</v>
      </c>
    </row>
    <row r="64" spans="1:75">
      <c r="A64" s="41"/>
      <c r="B64" s="27"/>
      <c r="C64" s="27" t="s">
        <v>30</v>
      </c>
      <c r="D64" s="27">
        <f t="shared" si="3"/>
        <v>-12216430.14862068</v>
      </c>
      <c r="E64" s="27"/>
      <c r="F64" s="27"/>
      <c r="G64" s="27"/>
      <c r="H64" s="27"/>
      <c r="I64" s="27"/>
      <c r="J64" s="27"/>
      <c r="K64" s="27"/>
      <c r="L64" s="27"/>
      <c r="M64" s="27"/>
      <c r="N64" s="27"/>
      <c r="O64" s="27"/>
      <c r="P64" s="27"/>
      <c r="Q64" s="27"/>
      <c r="R64" s="27"/>
      <c r="S64" s="27"/>
      <c r="T64" s="27"/>
      <c r="U64" s="34">
        <f t="shared" ref="U64:BH64" si="24">IPMT($D$18, U61, $D$23,$E$65)</f>
        <v>-543622.40664687147</v>
      </c>
      <c r="V64" s="34">
        <f t="shared" si="24"/>
        <v>-533605.02127467003</v>
      </c>
      <c r="W64" s="34">
        <f t="shared" si="24"/>
        <v>-523437.37512188562</v>
      </c>
      <c r="X64" s="34">
        <f t="shared" si="24"/>
        <v>-513117.21427680942</v>
      </c>
      <c r="Y64" s="34">
        <f t="shared" si="24"/>
        <v>-502642.25101905694</v>
      </c>
      <c r="Z64" s="34">
        <f t="shared" si="24"/>
        <v>-492010.16331243824</v>
      </c>
      <c r="AA64" s="34">
        <f t="shared" si="24"/>
        <v>-481218.59429022035</v>
      </c>
      <c r="AB64" s="34">
        <f t="shared" si="24"/>
        <v>-470265.15173266904</v>
      </c>
      <c r="AC64" s="34">
        <f t="shared" si="24"/>
        <v>-459147.40753675456</v>
      </c>
      <c r="AD64" s="34">
        <f t="shared" si="24"/>
        <v>-447862.89717790135</v>
      </c>
      <c r="AE64" s="34">
        <f t="shared" si="24"/>
        <v>-436409.11916366528</v>
      </c>
      <c r="AF64" s="34">
        <f t="shared" si="24"/>
        <v>-424783.53447921568</v>
      </c>
      <c r="AG64" s="34">
        <f t="shared" si="24"/>
        <v>-412983.56602449942</v>
      </c>
      <c r="AH64" s="34">
        <f t="shared" si="24"/>
        <v>-401006.59804296237</v>
      </c>
      <c r="AI64" s="34">
        <f t="shared" si="24"/>
        <v>-388849.97554170224</v>
      </c>
      <c r="AJ64" s="34">
        <f t="shared" si="24"/>
        <v>-376511.00370292325</v>
      </c>
      <c r="AK64" s="34">
        <f t="shared" si="24"/>
        <v>-363986.94728656253</v>
      </c>
      <c r="AL64" s="34">
        <f t="shared" si="24"/>
        <v>-351275.03002395644</v>
      </c>
      <c r="AM64" s="34">
        <f t="shared" si="24"/>
        <v>-338372.4340024112</v>
      </c>
      <c r="AN64" s="34">
        <f t="shared" si="24"/>
        <v>-325276.2990405428</v>
      </c>
      <c r="AO64" s="34">
        <f t="shared" si="24"/>
        <v>-311983.72205424646</v>
      </c>
      <c r="AP64" s="34">
        <f t="shared" si="24"/>
        <v>-298491.75641315558</v>
      </c>
      <c r="AQ64" s="34">
        <f t="shared" si="24"/>
        <v>-284797.41128744843</v>
      </c>
      <c r="AR64" s="34">
        <f t="shared" si="24"/>
        <v>-270897.6509848556</v>
      </c>
      <c r="AS64" s="34">
        <f t="shared" si="24"/>
        <v>-256789.39427772391</v>
      </c>
      <c r="AT64" s="34">
        <f t="shared" si="24"/>
        <v>-242469.5137199852</v>
      </c>
      <c r="AU64" s="34">
        <f t="shared" si="24"/>
        <v>-227934.83495388046</v>
      </c>
      <c r="AV64" s="34">
        <f t="shared" si="24"/>
        <v>-213182.13600628401</v>
      </c>
      <c r="AW64" s="34">
        <f t="shared" si="24"/>
        <v>-198208.14657447379</v>
      </c>
      <c r="AX64" s="34">
        <f t="shared" si="24"/>
        <v>-183009.54730118637</v>
      </c>
      <c r="AY64" s="34">
        <f t="shared" si="24"/>
        <v>-167582.96903879958</v>
      </c>
      <c r="AZ64" s="34">
        <f t="shared" si="24"/>
        <v>-151924.99210247706</v>
      </c>
      <c r="BA64" s="34">
        <f t="shared" si="24"/>
        <v>-136032.14551210965</v>
      </c>
      <c r="BB64" s="34">
        <f t="shared" si="24"/>
        <v>-119900.90622288677</v>
      </c>
      <c r="BC64" s="34">
        <f t="shared" si="24"/>
        <v>-103527.69834432553</v>
      </c>
      <c r="BD64" s="34">
        <f t="shared" si="24"/>
        <v>-86908.892347585861</v>
      </c>
      <c r="BE64" s="34">
        <f t="shared" si="24"/>
        <v>-70040.804260895107</v>
      </c>
      <c r="BF64" s="34">
        <f t="shared" si="24"/>
        <v>-52919.694852904002</v>
      </c>
      <c r="BG64" s="34">
        <f t="shared" si="24"/>
        <v>-35541.768803793013</v>
      </c>
      <c r="BH64" s="34">
        <f t="shared" si="24"/>
        <v>-17903.173863945362</v>
      </c>
    </row>
    <row r="65" spans="1:60">
      <c r="A65" s="41"/>
      <c r="B65" s="33" t="s">
        <v>31</v>
      </c>
      <c r="C65" s="42"/>
      <c r="D65" s="27"/>
      <c r="E65" s="27">
        <f>D24-D24/3</f>
        <v>36241493.776458099</v>
      </c>
      <c r="F65" s="27"/>
      <c r="G65" s="27"/>
      <c r="H65" s="27"/>
      <c r="I65" s="27"/>
      <c r="J65" s="27"/>
      <c r="K65" s="27"/>
      <c r="L65" s="27"/>
      <c r="M65" s="27"/>
      <c r="N65" s="27"/>
      <c r="O65" s="27"/>
      <c r="P65" s="27"/>
      <c r="Q65" s="27"/>
      <c r="R65" s="27"/>
      <c r="S65" s="27"/>
      <c r="T65" s="27"/>
      <c r="U65" s="27">
        <f>E65+U63</f>
        <v>35573668.084977999</v>
      </c>
      <c r="V65" s="27">
        <f>U65+V63</f>
        <v>34895825.0081257</v>
      </c>
      <c r="W65" s="27">
        <f t="shared" ref="W65:BH65" si="25">V65+W63</f>
        <v>34207814.285120614</v>
      </c>
      <c r="X65" s="27">
        <f t="shared" si="25"/>
        <v>33509483.401270453</v>
      </c>
      <c r="Y65" s="27">
        <f t="shared" si="25"/>
        <v>32800677.55416254</v>
      </c>
      <c r="Z65" s="27">
        <f t="shared" si="25"/>
        <v>32081239.619348008</v>
      </c>
      <c r="AA65" s="27">
        <f t="shared" si="25"/>
        <v>31351010.115511257</v>
      </c>
      <c r="AB65" s="27">
        <f t="shared" si="25"/>
        <v>30609827.169116955</v>
      </c>
      <c r="AC65" s="27">
        <f t="shared" si="25"/>
        <v>29857526.478526741</v>
      </c>
      <c r="AD65" s="27">
        <f t="shared" si="25"/>
        <v>29093941.277577672</v>
      </c>
      <c r="AE65" s="27">
        <f t="shared" si="25"/>
        <v>28318902.298614368</v>
      </c>
      <c r="AF65" s="27">
        <f t="shared" si="25"/>
        <v>27532237.734966613</v>
      </c>
      <c r="AG65" s="27">
        <f t="shared" si="25"/>
        <v>26733773.202864144</v>
      </c>
      <c r="AH65" s="27">
        <f t="shared" si="25"/>
        <v>25923331.702780135</v>
      </c>
      <c r="AI65" s="27">
        <f t="shared" si="25"/>
        <v>25100733.580194868</v>
      </c>
      <c r="AJ65" s="27">
        <f t="shared" si="25"/>
        <v>24265796.485770822</v>
      </c>
      <c r="AK65" s="27">
        <f t="shared" si="25"/>
        <v>23418335.334930416</v>
      </c>
      <c r="AL65" s="27">
        <f t="shared" si="25"/>
        <v>22558162.266827404</v>
      </c>
      <c r="AM65" s="27">
        <f t="shared" si="25"/>
        <v>21685086.602702845</v>
      </c>
      <c r="AN65" s="27">
        <f t="shared" si="25"/>
        <v>20798914.803616419</v>
      </c>
      <c r="AO65" s="27">
        <f t="shared" si="25"/>
        <v>19899450.427543696</v>
      </c>
      <c r="AP65" s="27">
        <f t="shared" si="25"/>
        <v>18986494.085829884</v>
      </c>
      <c r="AQ65" s="27">
        <f t="shared" si="25"/>
        <v>18059843.398990363</v>
      </c>
      <c r="AR65" s="27">
        <f t="shared" si="25"/>
        <v>17119292.95184825</v>
      </c>
      <c r="AS65" s="27">
        <f t="shared" si="25"/>
        <v>16164634.247999003</v>
      </c>
      <c r="AT65" s="27">
        <f t="shared" si="25"/>
        <v>15195655.663592018</v>
      </c>
      <c r="AU65" s="27">
        <f t="shared" si="25"/>
        <v>14212142.40041893</v>
      </c>
      <c r="AV65" s="27">
        <f t="shared" si="25"/>
        <v>13213876.438298244</v>
      </c>
      <c r="AW65" s="27">
        <f t="shared" si="25"/>
        <v>12200636.486745749</v>
      </c>
      <c r="AX65" s="27">
        <f t="shared" si="25"/>
        <v>11172197.935919965</v>
      </c>
      <c r="AY65" s="27">
        <f t="shared" si="25"/>
        <v>10128332.806831794</v>
      </c>
      <c r="AZ65" s="27">
        <f t="shared" si="25"/>
        <v>9068809.7008073013</v>
      </c>
      <c r="BA65" s="27">
        <f t="shared" si="25"/>
        <v>7993393.7481924416</v>
      </c>
      <c r="BB65" s="27">
        <f t="shared" si="25"/>
        <v>6901846.5562883588</v>
      </c>
      <c r="BC65" s="27">
        <f t="shared" si="25"/>
        <v>5793926.1565057151</v>
      </c>
      <c r="BD65" s="27">
        <f t="shared" si="25"/>
        <v>4669386.9507263312</v>
      </c>
      <c r="BE65" s="27">
        <f t="shared" si="25"/>
        <v>3527979.6568602566</v>
      </c>
      <c r="BF65" s="27">
        <f t="shared" si="25"/>
        <v>2369451.2535861908</v>
      </c>
      <c r="BG65" s="27">
        <f t="shared" si="25"/>
        <v>1193544.9242630142</v>
      </c>
      <c r="BH65" s="27">
        <f t="shared" si="25"/>
        <v>-1.0011717677116394E-8</v>
      </c>
    </row>
    <row r="66" spans="1:60" ht="21">
      <c r="A66" s="43"/>
      <c r="B66" s="26" t="s">
        <v>32</v>
      </c>
      <c r="C66" s="27"/>
      <c r="D66" s="27">
        <f t="shared" si="3"/>
        <v>-20723171.590958074</v>
      </c>
      <c r="E66" s="27"/>
      <c r="F66" s="27"/>
      <c r="G66" s="27"/>
      <c r="H66" s="27"/>
      <c r="I66" s="27"/>
      <c r="J66" s="27"/>
      <c r="K66" s="27"/>
      <c r="L66" s="27"/>
      <c r="M66" s="27"/>
      <c r="N66" s="27"/>
      <c r="O66" s="27"/>
      <c r="P66" s="27"/>
      <c r="Q66" s="27"/>
      <c r="R66" s="27"/>
      <c r="S66" s="27"/>
      <c r="T66" s="27"/>
      <c r="U66" s="27">
        <f t="shared" ref="U66:BH66" si="26">U62*U29</f>
        <v>-747007.15373489005</v>
      </c>
      <c r="V66" s="27">
        <f t="shared" si="26"/>
        <v>-732108.74085842108</v>
      </c>
      <c r="W66" s="27">
        <f t="shared" si="26"/>
        <v>-717507.46396669862</v>
      </c>
      <c r="X66" s="27">
        <f t="shared" si="26"/>
        <v>-703197.3969389901</v>
      </c>
      <c r="Y66" s="27">
        <f t="shared" si="26"/>
        <v>-689172.73184592545</v>
      </c>
      <c r="Z66" s="27">
        <f t="shared" si="26"/>
        <v>-675427.77659227257</v>
      </c>
      <c r="AA66" s="27">
        <f t="shared" si="26"/>
        <v>-661956.95260672562</v>
      </c>
      <c r="AB66" s="27">
        <f t="shared" si="26"/>
        <v>-648754.79257776809</v>
      </c>
      <c r="AC66" s="27">
        <f t="shared" si="26"/>
        <v>-635815.93823469174</v>
      </c>
      <c r="AD66" s="27">
        <f t="shared" si="26"/>
        <v>-623135.13817287388</v>
      </c>
      <c r="AE66" s="27">
        <f t="shared" si="26"/>
        <v>-610707.24572242249</v>
      </c>
      <c r="AF66" s="27">
        <f t="shared" si="26"/>
        <v>-598527.21685933485</v>
      </c>
      <c r="AG66" s="27">
        <f t="shared" si="26"/>
        <v>-586590.1081583132</v>
      </c>
      <c r="AH66" s="27">
        <f t="shared" si="26"/>
        <v>-574891.07478640962</v>
      </c>
      <c r="AI66" s="27">
        <f t="shared" si="26"/>
        <v>-563425.36853668792</v>
      </c>
      <c r="AJ66" s="27">
        <f t="shared" si="26"/>
        <v>-552188.33590110054</v>
      </c>
      <c r="AK66" s="27">
        <f t="shared" si="26"/>
        <v>-541175.41618180065</v>
      </c>
      <c r="AL66" s="27">
        <f t="shared" si="26"/>
        <v>-530382.13964012417</v>
      </c>
      <c r="AM66" s="27">
        <f t="shared" si="26"/>
        <v>-519804.12568248546</v>
      </c>
      <c r="AN66" s="27">
        <f t="shared" si="26"/>
        <v>-509437.08108245744</v>
      </c>
      <c r="AO66" s="27">
        <f t="shared" si="26"/>
        <v>-499276.79823830776</v>
      </c>
      <c r="AP66" s="27">
        <f t="shared" si="26"/>
        <v>-489319.15346528904</v>
      </c>
      <c r="AQ66" s="27">
        <f t="shared" si="26"/>
        <v>-479560.1053219866</v>
      </c>
      <c r="AR66" s="27">
        <f t="shared" si="26"/>
        <v>-469995.69297004619</v>
      </c>
      <c r="AS66" s="27">
        <f t="shared" si="26"/>
        <v>-460622.03456661536</v>
      </c>
      <c r="AT66" s="27">
        <f t="shared" si="26"/>
        <v>-451435.32568884728</v>
      </c>
      <c r="AU66" s="27">
        <f t="shared" si="26"/>
        <v>-442431.83778982429</v>
      </c>
      <c r="AV66" s="27">
        <f t="shared" si="26"/>
        <v>-433607.91668527882</v>
      </c>
      <c r="AW66" s="27">
        <f t="shared" si="26"/>
        <v>-424959.98107049416</v>
      </c>
      <c r="AX66" s="27">
        <f t="shared" si="26"/>
        <v>-416484.52106678509</v>
      </c>
      <c r="AY66" s="27">
        <f t="shared" si="26"/>
        <v>-408178.09679696668</v>
      </c>
      <c r="AZ66" s="27">
        <f t="shared" si="26"/>
        <v>-400037.33698923583</v>
      </c>
      <c r="BA66" s="27">
        <f t="shared" si="26"/>
        <v>-392058.93760889466</v>
      </c>
      <c r="BB66" s="27">
        <f t="shared" si="26"/>
        <v>-384239.66051736625</v>
      </c>
      <c r="BC66" s="27">
        <f t="shared" si="26"/>
        <v>-376576.33215795184</v>
      </c>
      <c r="BD66" s="27">
        <f t="shared" si="26"/>
        <v>-369065.84226780204</v>
      </c>
      <c r="BE66" s="27">
        <f t="shared" si="26"/>
        <v>-361705.14261557499</v>
      </c>
      <c r="BF66" s="27">
        <f t="shared" si="26"/>
        <v>-354491.24576427205</v>
      </c>
      <c r="BG66" s="27">
        <f t="shared" si="26"/>
        <v>-347421.22385874647</v>
      </c>
      <c r="BH66" s="27">
        <f t="shared" si="26"/>
        <v>-340492.20743739553</v>
      </c>
    </row>
    <row r="67" spans="1:60">
      <c r="A67" s="27"/>
      <c r="B67" s="27"/>
      <c r="C67" s="27" t="s">
        <v>29</v>
      </c>
      <c r="D67" s="27">
        <f t="shared" si="3"/>
        <v>-14894347.198148075</v>
      </c>
      <c r="E67" s="27"/>
      <c r="F67" s="27"/>
      <c r="G67" s="27"/>
      <c r="H67" s="27"/>
      <c r="I67" s="27"/>
      <c r="J67" s="27"/>
      <c r="K67" s="27"/>
      <c r="L67" s="27"/>
      <c r="M67" s="27"/>
      <c r="N67" s="27"/>
      <c r="O67" s="27"/>
      <c r="P67" s="27"/>
      <c r="Q67" s="27"/>
      <c r="R67" s="27"/>
      <c r="S67" s="27"/>
      <c r="T67" s="27"/>
      <c r="U67" s="27">
        <f t="shared" ref="U67:BH67" si="27">U63*U29</f>
        <v>-411796.89807172999</v>
      </c>
      <c r="V67" s="27">
        <f t="shared" si="27"/>
        <v>-409637.72386220988</v>
      </c>
      <c r="W67" s="27">
        <f t="shared" si="27"/>
        <v>-407489.87084837846</v>
      </c>
      <c r="X67" s="27">
        <f t="shared" si="27"/>
        <v>-405353.27966982318</v>
      </c>
      <c r="Y67" s="27">
        <f t="shared" si="27"/>
        <v>-403227.89127737592</v>
      </c>
      <c r="Z67" s="27">
        <f t="shared" si="27"/>
        <v>-401113.64693148079</v>
      </c>
      <c r="AA67" s="27">
        <f t="shared" si="27"/>
        <v>-399010.48820057127</v>
      </c>
      <c r="AB67" s="27">
        <f t="shared" si="27"/>
        <v>-396918.35695945506</v>
      </c>
      <c r="AC67" s="27">
        <f t="shared" si="27"/>
        <v>-394837.1953877068</v>
      </c>
      <c r="AD67" s="27">
        <f t="shared" si="27"/>
        <v>-392766.94596807216</v>
      </c>
      <c r="AE67" s="27">
        <f t="shared" si="27"/>
        <v>-390707.55148487596</v>
      </c>
      <c r="AF67" s="27">
        <f t="shared" si="27"/>
        <v>-388658.95502244239</v>
      </c>
      <c r="AG67" s="27">
        <f t="shared" si="27"/>
        <v>-386621.09996352135</v>
      </c>
      <c r="AH67" s="27">
        <f t="shared" si="27"/>
        <v>-384593.92998772388</v>
      </c>
      <c r="AI67" s="27">
        <f t="shared" si="27"/>
        <v>-382577.38906996587</v>
      </c>
      <c r="AJ67" s="27">
        <f t="shared" si="27"/>
        <v>-380571.42147891939</v>
      </c>
      <c r="AK67" s="27">
        <f t="shared" si="27"/>
        <v>-378575.97177547211</v>
      </c>
      <c r="AL67" s="27">
        <f t="shared" si="27"/>
        <v>-376590.98481119634</v>
      </c>
      <c r="AM67" s="27">
        <f t="shared" si="27"/>
        <v>-374616.40572682337</v>
      </c>
      <c r="AN67" s="27">
        <f t="shared" si="27"/>
        <v>-372652.17995072837</v>
      </c>
      <c r="AO67" s="27">
        <f t="shared" si="27"/>
        <v>-370698.25319742173</v>
      </c>
      <c r="AP67" s="27">
        <f t="shared" si="27"/>
        <v>-368754.57146604889</v>
      </c>
      <c r="AQ67" s="27">
        <f t="shared" si="27"/>
        <v>-366821.08103889797</v>
      </c>
      <c r="AR67" s="27">
        <f t="shared" si="27"/>
        <v>-364897.72847991524</v>
      </c>
      <c r="AS67" s="27">
        <f t="shared" si="27"/>
        <v>-362984.46063322766</v>
      </c>
      <c r="AT67" s="27">
        <f t="shared" si="27"/>
        <v>-361081.22462167492</v>
      </c>
      <c r="AU67" s="27">
        <f t="shared" si="27"/>
        <v>-359187.96784534713</v>
      </c>
      <c r="AV67" s="27">
        <f t="shared" si="27"/>
        <v>-357304.63798013167</v>
      </c>
      <c r="AW67" s="27">
        <f t="shared" si="27"/>
        <v>-355431.18297626649</v>
      </c>
      <c r="AX67" s="27">
        <f t="shared" si="27"/>
        <v>-353567.55105690256</v>
      </c>
      <c r="AY67" s="27">
        <f t="shared" si="27"/>
        <v>-351713.69071667176</v>
      </c>
      <c r="AZ67" s="27">
        <f t="shared" si="27"/>
        <v>-349869.55072026444</v>
      </c>
      <c r="BA67" s="27">
        <f t="shared" si="27"/>
        <v>-348035.08010101266</v>
      </c>
      <c r="BB67" s="27">
        <f t="shared" si="27"/>
        <v>-346210.22815948242</v>
      </c>
      <c r="BC67" s="27">
        <f t="shared" si="27"/>
        <v>-344394.94446207141</v>
      </c>
      <c r="BD67" s="27">
        <f t="shared" si="27"/>
        <v>-342589.1788396163</v>
      </c>
      <c r="BE67" s="27">
        <f t="shared" si="27"/>
        <v>-340792.8813860052</v>
      </c>
      <c r="BF67" s="27">
        <f t="shared" si="27"/>
        <v>-339006.00245679944</v>
      </c>
      <c r="BG67" s="27">
        <f t="shared" si="27"/>
        <v>-337228.49266786035</v>
      </c>
      <c r="BH67" s="27">
        <f t="shared" si="27"/>
        <v>-335460.3028939857</v>
      </c>
    </row>
    <row r="68" spans="1:60">
      <c r="A68" s="27"/>
      <c r="B68" s="27"/>
      <c r="C68" s="27" t="s">
        <v>30</v>
      </c>
      <c r="D68" s="27">
        <f t="shared" si="3"/>
        <v>-5828824.3928099973</v>
      </c>
      <c r="E68" s="27"/>
      <c r="F68" s="27"/>
      <c r="G68" s="27"/>
      <c r="H68" s="27"/>
      <c r="I68" s="27"/>
      <c r="J68" s="27"/>
      <c r="K68" s="27"/>
      <c r="L68" s="27"/>
      <c r="M68" s="27"/>
      <c r="N68" s="27"/>
      <c r="O68" s="27"/>
      <c r="P68" s="27"/>
      <c r="Q68" s="27"/>
      <c r="R68" s="27"/>
      <c r="S68" s="27"/>
      <c r="T68" s="27"/>
      <c r="U68" s="27">
        <f t="shared" ref="U68:BH68" si="28">U64*U29</f>
        <v>-335210.25566315994</v>
      </c>
      <c r="V68" s="27">
        <f t="shared" si="28"/>
        <v>-322471.01699621108</v>
      </c>
      <c r="W68" s="27">
        <f t="shared" si="28"/>
        <v>-310017.5931183201</v>
      </c>
      <c r="X68" s="27">
        <f t="shared" si="28"/>
        <v>-297844.11726916692</v>
      </c>
      <c r="Y68" s="27">
        <f t="shared" si="28"/>
        <v>-285944.84056854952</v>
      </c>
      <c r="Z68" s="27">
        <f t="shared" si="28"/>
        <v>-274314.12966079172</v>
      </c>
      <c r="AA68" s="27">
        <f t="shared" si="28"/>
        <v>-262946.46440615423</v>
      </c>
      <c r="AB68" s="27">
        <f t="shared" si="28"/>
        <v>-251836.435618313</v>
      </c>
      <c r="AC68" s="27">
        <f t="shared" si="28"/>
        <v>-240978.74284698491</v>
      </c>
      <c r="AD68" s="27">
        <f t="shared" si="28"/>
        <v>-230368.19220480163</v>
      </c>
      <c r="AE68" s="27">
        <f t="shared" si="28"/>
        <v>-219999.69423754641</v>
      </c>
      <c r="AF68" s="27">
        <f t="shared" si="28"/>
        <v>-209868.26183689246</v>
      </c>
      <c r="AG68" s="27">
        <f t="shared" si="28"/>
        <v>-199969.00819479182</v>
      </c>
      <c r="AH68" s="27">
        <f t="shared" si="28"/>
        <v>-190297.14479868574</v>
      </c>
      <c r="AI68" s="27">
        <f t="shared" si="28"/>
        <v>-180847.979466722</v>
      </c>
      <c r="AJ68" s="27">
        <f t="shared" si="28"/>
        <v>-171616.91442218117</v>
      </c>
      <c r="AK68" s="27">
        <f t="shared" si="28"/>
        <v>-162599.44440632849</v>
      </c>
      <c r="AL68" s="27">
        <f t="shared" si="28"/>
        <v>-153791.15482892774</v>
      </c>
      <c r="AM68" s="27">
        <f t="shared" si="28"/>
        <v>-145187.71995566203</v>
      </c>
      <c r="AN68" s="27">
        <f t="shared" si="28"/>
        <v>-136784.90113172898</v>
      </c>
      <c r="AO68" s="27">
        <f t="shared" si="28"/>
        <v>-128578.54504088602</v>
      </c>
      <c r="AP68" s="27">
        <f t="shared" si="28"/>
        <v>-120564.58199924014</v>
      </c>
      <c r="AQ68" s="27">
        <f t="shared" si="28"/>
        <v>-112739.02428308855</v>
      </c>
      <c r="AR68" s="27">
        <f t="shared" si="28"/>
        <v>-105097.96449013094</v>
      </c>
      <c r="AS68" s="27">
        <f t="shared" si="28"/>
        <v>-97637.573933387728</v>
      </c>
      <c r="AT68" s="27">
        <f t="shared" si="28"/>
        <v>-90354.101067172349</v>
      </c>
      <c r="AU68" s="27">
        <f t="shared" si="28"/>
        <v>-83243.869944477105</v>
      </c>
      <c r="AV68" s="27">
        <f t="shared" si="28"/>
        <v>-76303.27870514711</v>
      </c>
      <c r="AW68" s="27">
        <f t="shared" si="28"/>
        <v>-69528.798094227604</v>
      </c>
      <c r="AX68" s="27">
        <f t="shared" si="28"/>
        <v>-62916.970009882505</v>
      </c>
      <c r="AY68" s="27">
        <f t="shared" si="28"/>
        <v>-56464.406080294939</v>
      </c>
      <c r="AZ68" s="27">
        <f t="shared" si="28"/>
        <v>-50167.786268971315</v>
      </c>
      <c r="BA68" s="27">
        <f t="shared" si="28"/>
        <v>-44023.857507881927</v>
      </c>
      <c r="BB68" s="27">
        <f t="shared" si="28"/>
        <v>-38029.432357883808</v>
      </c>
      <c r="BC68" s="27">
        <f t="shared" si="28"/>
        <v>-32181.387695880396</v>
      </c>
      <c r="BD68" s="27">
        <f t="shared" si="28"/>
        <v>-26476.66342818574</v>
      </c>
      <c r="BE68" s="27">
        <f t="shared" si="28"/>
        <v>-20912.261229569747</v>
      </c>
      <c r="BF68" s="27">
        <f t="shared" si="28"/>
        <v>-15485.243307472605</v>
      </c>
      <c r="BG68" s="27">
        <f t="shared" si="28"/>
        <v>-10192.731190886079</v>
      </c>
      <c r="BH68" s="27">
        <f t="shared" si="28"/>
        <v>-5031.9045434097852</v>
      </c>
    </row>
    <row r="69" spans="1:60">
      <c r="G69" s="45"/>
      <c r="J69" s="46"/>
    </row>
    <row r="70" spans="1:60">
      <c r="A70" s="24"/>
      <c r="C70" s="47"/>
      <c r="D70" s="47"/>
      <c r="E70" s="47"/>
      <c r="F70" s="47"/>
      <c r="G70" s="45"/>
    </row>
    <row r="71" spans="1:60">
      <c r="A71" s="24"/>
      <c r="C71" s="47"/>
      <c r="D71" s="47"/>
      <c r="E71" s="47"/>
      <c r="F71" s="47"/>
      <c r="G71" s="45"/>
      <c r="J71" s="48"/>
    </row>
    <row r="72" spans="1:60">
      <c r="A72" s="24"/>
      <c r="C72" s="47"/>
      <c r="D72" s="47"/>
      <c r="E72" s="47"/>
      <c r="F72" s="47"/>
      <c r="G72" s="45"/>
    </row>
    <row r="73" spans="1:60">
      <c r="A73" s="24"/>
      <c r="C73" s="47"/>
      <c r="D73" s="47"/>
      <c r="E73" s="47"/>
      <c r="F73" s="47"/>
      <c r="G73" s="45"/>
      <c r="J73" s="45"/>
    </row>
    <row r="74" spans="1:60">
      <c r="A74" s="24"/>
      <c r="C74" s="47"/>
      <c r="D74" s="47"/>
      <c r="E74" s="47"/>
      <c r="F74" s="47"/>
      <c r="G74" s="45"/>
    </row>
    <row r="75" spans="1:60">
      <c r="A75" s="24"/>
      <c r="C75" s="47"/>
      <c r="D75" s="47"/>
      <c r="E75" s="47"/>
      <c r="F75" s="47"/>
      <c r="G75" s="45"/>
    </row>
    <row r="76" spans="1:60">
      <c r="A76" s="24"/>
      <c r="C76" s="47"/>
      <c r="D76" s="47"/>
      <c r="E76" s="47"/>
      <c r="F76" s="47"/>
      <c r="G76" s="45"/>
    </row>
    <row r="77" spans="1:60">
      <c r="A77" s="24"/>
      <c r="C77" s="47"/>
      <c r="D77" s="47"/>
      <c r="E77" s="47"/>
      <c r="F77" s="47"/>
      <c r="G77" s="45"/>
    </row>
    <row r="78" spans="1:60">
      <c r="A78" s="24"/>
      <c r="C78" s="47"/>
      <c r="D78" s="47"/>
      <c r="E78" s="47"/>
      <c r="F78" s="47"/>
      <c r="G78" s="45"/>
    </row>
    <row r="79" spans="1:60">
      <c r="A79" s="24"/>
      <c r="C79" s="47"/>
      <c r="D79" s="47"/>
      <c r="E79" s="47"/>
      <c r="F79" s="47"/>
      <c r="G79" s="45"/>
    </row>
    <row r="80" spans="1:60">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1348-9330-3148-AD68-48532EE60B6D}">
  <sheetPr>
    <tabColor rgb="FF7030A0"/>
  </sheetPr>
  <dimension ref="A1:BW91"/>
  <sheetViews>
    <sheetView topLeftCell="A4" zoomScale="112" zoomScaleNormal="90" workbookViewId="0">
      <pane xSplit="5" ySplit="27" topLeftCell="F31" activePane="bottomRight" state="frozen"/>
      <selection activeCell="A26" sqref="A26:A28"/>
      <selection pane="topRight" activeCell="A26" sqref="A26:A28"/>
      <selection pane="bottomLeft" activeCell="A26" sqref="A26:A28"/>
      <selection pane="bottomRight" activeCell="C26" sqref="C26"/>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303" t="s">
        <v>63</v>
      </c>
      <c r="B4" s="263"/>
      <c r="C4" s="263"/>
      <c r="D4" s="263"/>
    </row>
    <row r="5" spans="1:7" ht="21">
      <c r="A5" s="303"/>
      <c r="B5" s="263"/>
      <c r="C5" s="263"/>
      <c r="D5" s="263"/>
    </row>
    <row r="6" spans="1:7" ht="21">
      <c r="A6" s="325" t="s">
        <v>1</v>
      </c>
      <c r="B6" s="353"/>
      <c r="C6" s="353"/>
      <c r="D6" s="326"/>
      <c r="F6" s="321" t="s">
        <v>2</v>
      </c>
      <c r="G6" s="322"/>
    </row>
    <row r="7" spans="1:7">
      <c r="A7" s="257" t="s">
        <v>3</v>
      </c>
      <c r="B7" s="263"/>
      <c r="C7" s="263"/>
      <c r="D7" s="295">
        <f>Data!D6</f>
        <v>2010</v>
      </c>
      <c r="F7" s="6" t="s">
        <v>4</v>
      </c>
      <c r="G7" s="7">
        <f>D13</f>
        <v>88000000</v>
      </c>
    </row>
    <row r="8" spans="1:7">
      <c r="A8" s="257" t="s">
        <v>5</v>
      </c>
      <c r="B8" s="263"/>
      <c r="C8" s="263"/>
      <c r="D8" s="296">
        <f>Data!F6</f>
        <v>2.5000000000000001E-3</v>
      </c>
      <c r="F8" s="6" t="s">
        <v>6</v>
      </c>
      <c r="G8" s="9">
        <f>D33*-1</f>
        <v>90888562.451659128</v>
      </c>
    </row>
    <row r="9" spans="1:7">
      <c r="A9" s="257" t="s">
        <v>7</v>
      </c>
      <c r="B9" s="263"/>
      <c r="C9" s="263"/>
      <c r="D9" s="260">
        <f>Data!G6</f>
        <v>4</v>
      </c>
      <c r="F9" s="11" t="s">
        <v>8</v>
      </c>
      <c r="G9" s="12">
        <f>D37*-1</f>
        <v>60165805.913159579</v>
      </c>
    </row>
    <row r="10" spans="1:7">
      <c r="A10" s="257" t="s">
        <v>9</v>
      </c>
      <c r="B10" s="263"/>
      <c r="C10" s="263"/>
      <c r="D10" s="260">
        <f>Data!E6</f>
        <v>16.5</v>
      </c>
    </row>
    <row r="11" spans="1:7">
      <c r="A11" s="257" t="s">
        <v>10</v>
      </c>
      <c r="B11" s="263"/>
      <c r="C11" s="263"/>
      <c r="D11" s="260">
        <v>2</v>
      </c>
      <c r="F11" s="321" t="s">
        <v>11</v>
      </c>
      <c r="G11" s="322"/>
    </row>
    <row r="12" spans="1:7">
      <c r="A12" s="257" t="s">
        <v>12</v>
      </c>
      <c r="B12" s="263"/>
      <c r="C12" s="263"/>
      <c r="D12" s="260">
        <f>(D10-D9)*2</f>
        <v>25</v>
      </c>
      <c r="F12" s="6" t="s">
        <v>4</v>
      </c>
      <c r="G12" s="7">
        <f>D13</f>
        <v>88000000</v>
      </c>
    </row>
    <row r="13" spans="1:7">
      <c r="A13" s="257" t="s">
        <v>259</v>
      </c>
      <c r="B13" s="263"/>
      <c r="C13" s="263"/>
      <c r="D13" s="297">
        <f>Data!B6</f>
        <v>88000000</v>
      </c>
      <c r="F13" s="6" t="s">
        <v>31</v>
      </c>
      <c r="G13" s="9">
        <f>D24</f>
        <v>56950918.791577056</v>
      </c>
    </row>
    <row r="14" spans="1:7">
      <c r="A14" s="298" t="s">
        <v>15</v>
      </c>
      <c r="B14" s="261"/>
      <c r="C14" s="261"/>
      <c r="D14" s="299">
        <v>4.07E-2</v>
      </c>
      <c r="F14" s="6" t="s">
        <v>6</v>
      </c>
      <c r="G14" s="9">
        <f>(D44+D53+D62)*-1</f>
        <v>102635418.6610035</v>
      </c>
    </row>
    <row r="15" spans="1:7">
      <c r="A15" s="263"/>
      <c r="B15" s="263"/>
      <c r="C15" s="263"/>
      <c r="D15" s="263"/>
      <c r="E15" s="16"/>
      <c r="F15" s="11" t="s">
        <v>8</v>
      </c>
      <c r="G15" s="12">
        <f>(D48+D57+D66)*-1</f>
        <v>59603603.025033504</v>
      </c>
    </row>
    <row r="16" spans="1:7" ht="20.399999999999999">
      <c r="A16" s="350" t="s">
        <v>16</v>
      </c>
      <c r="B16" s="351"/>
      <c r="C16" s="351"/>
      <c r="D16" s="352"/>
      <c r="E16" s="16"/>
      <c r="F16" s="16"/>
    </row>
    <row r="17" spans="1:75">
      <c r="A17" s="257" t="s">
        <v>17</v>
      </c>
      <c r="B17" s="263"/>
      <c r="C17" s="263"/>
      <c r="D17" s="300">
        <f>Data!H6</f>
        <v>2019</v>
      </c>
      <c r="E17" s="16"/>
      <c r="F17" s="323" t="s">
        <v>109</v>
      </c>
      <c r="G17" s="324"/>
      <c r="H17" s="120"/>
    </row>
    <row r="18" spans="1:75">
      <c r="A18" s="257" t="s">
        <v>5</v>
      </c>
      <c r="B18" s="263"/>
      <c r="C18" s="263"/>
      <c r="D18" s="259">
        <f>Data!N6</f>
        <v>1.4999999999999999E-2</v>
      </c>
      <c r="E18" s="16"/>
      <c r="F18" s="121" t="s">
        <v>44</v>
      </c>
      <c r="G18" s="118" t="s">
        <v>45</v>
      </c>
      <c r="H18" s="58"/>
    </row>
    <row r="19" spans="1:75">
      <c r="A19" s="257" t="s">
        <v>7</v>
      </c>
      <c r="B19" s="263"/>
      <c r="C19" s="263"/>
      <c r="D19" s="260">
        <f>Data!O6</f>
        <v>4</v>
      </c>
      <c r="E19" s="16"/>
      <c r="F19" s="119">
        <f>(1-((D8/D11)/D25))*(1-(((1/((1+D25)^(D11*D9)))-(1/((1+D25)^(D11*D10))))/(D25*(D11*D10-D11*D9))))</f>
        <v>0.37174856851743532</v>
      </c>
      <c r="G19" s="122">
        <f>(1-((D18/D21)/D25))*(1-(((1/((1+D25)^(D21*D19)))-(1/((1+D25)^(D21*D20))))/(D25*(D21*D20-D21*D19))))</f>
        <v>0.38478230541559127</v>
      </c>
    </row>
    <row r="20" spans="1:75">
      <c r="A20" s="257" t="s">
        <v>9</v>
      </c>
      <c r="B20" s="263"/>
      <c r="C20" s="263"/>
      <c r="D20" s="260">
        <f>Data!M6</f>
        <v>31.5</v>
      </c>
      <c r="E20" s="16"/>
      <c r="F20" s="16"/>
    </row>
    <row r="21" spans="1:75">
      <c r="A21" s="257" t="s">
        <v>10</v>
      </c>
      <c r="B21" s="263"/>
      <c r="C21" s="263"/>
      <c r="D21" s="260">
        <v>2</v>
      </c>
      <c r="E21" s="16"/>
      <c r="F21" s="16"/>
    </row>
    <row r="22" spans="1:75">
      <c r="A22" s="257" t="s">
        <v>12</v>
      </c>
      <c r="B22" s="263"/>
      <c r="C22" s="263"/>
      <c r="D22" s="260">
        <f>(D20-D19)*2</f>
        <v>55</v>
      </c>
      <c r="E22" s="16"/>
      <c r="F22" s="16"/>
    </row>
    <row r="23" spans="1:75">
      <c r="A23" s="257" t="s">
        <v>42</v>
      </c>
      <c r="B23" s="263"/>
      <c r="C23" s="263"/>
      <c r="D23" s="260">
        <f>D22-'ROC - Outstanding Balances'!O24-6</f>
        <v>40</v>
      </c>
      <c r="E23" s="16"/>
      <c r="F23" s="16"/>
    </row>
    <row r="24" spans="1:75">
      <c r="A24" s="257" t="s">
        <v>219</v>
      </c>
      <c r="B24" s="263"/>
      <c r="C24" s="263"/>
      <c r="D24" s="301">
        <f>Data!L6</f>
        <v>56950918.791577056</v>
      </c>
      <c r="E24" s="16"/>
      <c r="F24" s="16"/>
    </row>
    <row r="25" spans="1:75">
      <c r="A25" s="304" t="s">
        <v>187</v>
      </c>
      <c r="B25" s="261"/>
      <c r="C25" s="261"/>
      <c r="D25" s="299">
        <f>(1.05^0.5)-1</f>
        <v>2.4695076595959931E-2</v>
      </c>
      <c r="E25" s="16"/>
      <c r="F25" s="16"/>
    </row>
    <row r="26" spans="1:75" s="19" customFormat="1" ht="46.8">
      <c r="A26" s="302" t="s">
        <v>43</v>
      </c>
      <c r="B26" s="305"/>
      <c r="C26" s="305"/>
      <c r="D26" s="305"/>
      <c r="E26" s="20"/>
      <c r="F26" s="20"/>
      <c r="N26" s="21" t="s">
        <v>19</v>
      </c>
      <c r="T26" s="21" t="s">
        <v>20</v>
      </c>
      <c r="AD26" s="21" t="s">
        <v>21</v>
      </c>
      <c r="BH26" s="21" t="s">
        <v>22</v>
      </c>
    </row>
    <row r="27" spans="1:75">
      <c r="A27" s="262" t="s">
        <v>23</v>
      </c>
      <c r="D27" s="2"/>
      <c r="E27" s="23" t="s">
        <v>83</v>
      </c>
      <c r="F27" s="24">
        <v>42004</v>
      </c>
      <c r="G27" s="24">
        <v>42185</v>
      </c>
      <c r="H27" s="24">
        <v>42369</v>
      </c>
      <c r="I27" s="24">
        <v>42551</v>
      </c>
      <c r="J27" s="24">
        <v>42735</v>
      </c>
      <c r="K27" s="24">
        <v>42916</v>
      </c>
      <c r="L27" s="24">
        <v>43100</v>
      </c>
      <c r="M27" s="24">
        <v>43281</v>
      </c>
      <c r="N27" s="24">
        <v>43465</v>
      </c>
      <c r="O27" s="24">
        <v>43646</v>
      </c>
      <c r="P27" s="24">
        <v>43830</v>
      </c>
      <c r="Q27" s="24">
        <v>44012</v>
      </c>
      <c r="R27" s="24">
        <v>44196</v>
      </c>
      <c r="S27" s="24">
        <v>44377</v>
      </c>
      <c r="T27" s="24">
        <v>44561</v>
      </c>
      <c r="U27" s="24">
        <v>44742</v>
      </c>
      <c r="V27" s="24">
        <v>44926</v>
      </c>
      <c r="W27" s="24">
        <v>45107</v>
      </c>
      <c r="X27" s="24">
        <v>45291</v>
      </c>
      <c r="Y27" s="24">
        <v>45473</v>
      </c>
      <c r="Z27" s="24">
        <v>45657</v>
      </c>
      <c r="AA27" s="24">
        <v>45838</v>
      </c>
      <c r="AB27" s="24">
        <v>46022</v>
      </c>
      <c r="AC27" s="24">
        <v>46203</v>
      </c>
      <c r="AD27" s="24">
        <v>46387</v>
      </c>
      <c r="AE27" s="24">
        <v>46568</v>
      </c>
      <c r="AF27" s="24">
        <v>46752</v>
      </c>
      <c r="AG27" s="24">
        <v>46934</v>
      </c>
      <c r="AH27" s="24">
        <v>47118</v>
      </c>
      <c r="AI27" s="24">
        <v>47299</v>
      </c>
      <c r="AJ27" s="24">
        <v>47483</v>
      </c>
      <c r="AK27" s="24">
        <v>47664</v>
      </c>
      <c r="AL27" s="24">
        <v>47848</v>
      </c>
      <c r="AM27" s="24">
        <v>48029</v>
      </c>
      <c r="AN27" s="24">
        <v>48213</v>
      </c>
      <c r="AO27" s="24">
        <v>48395</v>
      </c>
      <c r="AP27" s="24">
        <v>48579</v>
      </c>
      <c r="AQ27" s="24">
        <v>48760</v>
      </c>
      <c r="AR27" s="24">
        <v>48944</v>
      </c>
      <c r="AS27" s="24">
        <v>49125</v>
      </c>
      <c r="AT27" s="24">
        <v>49309</v>
      </c>
      <c r="AU27" s="24">
        <v>49490</v>
      </c>
      <c r="AV27" s="24">
        <v>49674</v>
      </c>
      <c r="AW27" s="24">
        <v>49856</v>
      </c>
      <c r="AX27" s="24">
        <v>50040</v>
      </c>
      <c r="AY27" s="24">
        <v>50221</v>
      </c>
      <c r="AZ27" s="24">
        <v>50405</v>
      </c>
      <c r="BA27" s="24">
        <v>50586</v>
      </c>
      <c r="BB27" s="24">
        <v>50770</v>
      </c>
      <c r="BC27" s="24">
        <v>50951</v>
      </c>
      <c r="BD27" s="24">
        <v>51135</v>
      </c>
      <c r="BE27" s="24">
        <v>51317</v>
      </c>
      <c r="BF27" s="24">
        <v>51501</v>
      </c>
      <c r="BG27" s="24">
        <v>51682</v>
      </c>
      <c r="BH27" s="24">
        <v>51866</v>
      </c>
      <c r="BI27" s="23"/>
      <c r="BJ27" s="24"/>
      <c r="BK27" s="23"/>
      <c r="BL27" s="24"/>
      <c r="BM27" s="23"/>
      <c r="BN27" s="24"/>
      <c r="BO27" s="23"/>
      <c r="BP27" s="24"/>
      <c r="BQ27" s="23"/>
      <c r="BR27" s="24"/>
      <c r="BS27" s="23"/>
      <c r="BT27" s="24"/>
      <c r="BU27" s="23"/>
      <c r="BV27" s="24"/>
      <c r="BW27" s="23"/>
    </row>
    <row r="28" spans="1:75">
      <c r="A28" s="262" t="s">
        <v>38</v>
      </c>
      <c r="D28" s="2"/>
      <c r="E28" s="23"/>
      <c r="F28" s="54">
        <f>(D9*2)+1</f>
        <v>9</v>
      </c>
      <c r="G28" s="54">
        <f>F28+1</f>
        <v>10</v>
      </c>
      <c r="H28" s="54">
        <f t="shared" ref="H28:BH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f t="shared" si="0"/>
        <v>59</v>
      </c>
      <c r="BE28" s="54">
        <f t="shared" si="0"/>
        <v>60</v>
      </c>
      <c r="BF28" s="54">
        <f t="shared" si="0"/>
        <v>61</v>
      </c>
      <c r="BG28" s="54">
        <f t="shared" si="0"/>
        <v>62</v>
      </c>
      <c r="BH28" s="54">
        <f t="shared" si="0"/>
        <v>63</v>
      </c>
      <c r="BI28" s="23"/>
      <c r="BJ28" s="24"/>
      <c r="BK28" s="23"/>
      <c r="BL28" s="24"/>
      <c r="BM28" s="23"/>
      <c r="BN28" s="24"/>
      <c r="BO28" s="23"/>
      <c r="BP28" s="24"/>
      <c r="BQ28" s="23"/>
      <c r="BR28" s="24"/>
      <c r="BS28" s="23"/>
      <c r="BT28" s="24"/>
      <c r="BU28" s="23"/>
      <c r="BV28" s="24"/>
      <c r="BW28" s="23"/>
    </row>
    <row r="29" spans="1:75">
      <c r="A29" s="262" t="s">
        <v>26</v>
      </c>
      <c r="E29" s="25"/>
      <c r="F29" s="25">
        <f>1/(1+($D14/$D11))^F28</f>
        <v>0.83417559665569441</v>
      </c>
      <c r="G29" s="25">
        <f t="shared" ref="G29:BH29" si="1">1/(1+($D14/$D11))^G28</f>
        <v>0.8175386844275927</v>
      </c>
      <c r="H29" s="25">
        <f t="shared" si="1"/>
        <v>0.80123358105316078</v>
      </c>
      <c r="I29" s="25">
        <f t="shared" si="1"/>
        <v>0.78525366889122428</v>
      </c>
      <c r="J29" s="25">
        <f t="shared" si="1"/>
        <v>0.76959246228374978</v>
      </c>
      <c r="K29" s="25">
        <f t="shared" si="1"/>
        <v>0.75424360492355524</v>
      </c>
      <c r="L29" s="25">
        <f t="shared" si="1"/>
        <v>0.73920086727451895</v>
      </c>
      <c r="M29" s="25">
        <f t="shared" si="1"/>
        <v>0.72445814404323872</v>
      </c>
      <c r="N29" s="25">
        <f t="shared" si="1"/>
        <v>0.71000945170112095</v>
      </c>
      <c r="O29" s="25">
        <f t="shared" si="1"/>
        <v>0.69584892605588355</v>
      </c>
      <c r="P29" s="25">
        <f t="shared" si="1"/>
        <v>0.68197081987149843</v>
      </c>
      <c r="Q29" s="25">
        <f t="shared" si="1"/>
        <v>0.66836950053559885</v>
      </c>
      <c r="R29" s="25">
        <f t="shared" si="1"/>
        <v>0.65503944777341006</v>
      </c>
      <c r="S29" s="25">
        <f t="shared" si="1"/>
        <v>0.64197525140727185</v>
      </c>
      <c r="T29" s="25">
        <f t="shared" si="1"/>
        <v>0.62917160916084858</v>
      </c>
      <c r="U29" s="25">
        <f t="shared" si="1"/>
        <v>0.61662332450712842</v>
      </c>
      <c r="V29" s="25">
        <f t="shared" si="1"/>
        <v>0.60432530455934563</v>
      </c>
      <c r="W29" s="25">
        <f t="shared" si="1"/>
        <v>0.59227255800396483</v>
      </c>
      <c r="X29" s="25">
        <f t="shared" si="1"/>
        <v>0.58046019307489083</v>
      </c>
      <c r="Y29" s="25">
        <f t="shared" si="1"/>
        <v>0.56888341556808031</v>
      </c>
      <c r="Z29" s="25">
        <f t="shared" si="1"/>
        <v>0.55753752689575165</v>
      </c>
      <c r="AA29" s="25">
        <f t="shared" si="1"/>
        <v>0.54641792217940077</v>
      </c>
      <c r="AB29" s="25">
        <f t="shared" si="1"/>
        <v>0.53552008838085052</v>
      </c>
      <c r="AC29" s="25">
        <f t="shared" si="1"/>
        <v>0.52483960247057404</v>
      </c>
      <c r="AD29" s="25">
        <f t="shared" si="1"/>
        <v>0.51437212963255163</v>
      </c>
      <c r="AE29" s="25">
        <f t="shared" si="1"/>
        <v>0.50411342150492633</v>
      </c>
      <c r="AF29" s="25">
        <f t="shared" si="1"/>
        <v>0.49405931445575169</v>
      </c>
      <c r="AG29" s="25">
        <f t="shared" si="1"/>
        <v>0.48420572789312655</v>
      </c>
      <c r="AH29" s="25">
        <f t="shared" si="1"/>
        <v>0.47454866260903267</v>
      </c>
      <c r="AI29" s="25">
        <f t="shared" si="1"/>
        <v>0.46508419915620375</v>
      </c>
      <c r="AJ29" s="25">
        <f t="shared" si="1"/>
        <v>0.45580849625736641</v>
      </c>
      <c r="AK29" s="25">
        <f t="shared" si="1"/>
        <v>0.44671778924620592</v>
      </c>
      <c r="AL29" s="25">
        <f t="shared" si="1"/>
        <v>0.43780838853942855</v>
      </c>
      <c r="AM29" s="25">
        <f t="shared" si="1"/>
        <v>0.42907667813929384</v>
      </c>
      <c r="AN29" s="25">
        <f t="shared" si="1"/>
        <v>0.4205191141660154</v>
      </c>
      <c r="AO29" s="25">
        <f t="shared" si="1"/>
        <v>0.4121322234194299</v>
      </c>
      <c r="AP29" s="25">
        <f t="shared" si="1"/>
        <v>0.40391260196935352</v>
      </c>
      <c r="AQ29" s="25">
        <f t="shared" si="1"/>
        <v>0.39585691377405152</v>
      </c>
      <c r="AR29" s="25">
        <f t="shared" si="1"/>
        <v>0.38796188932626213</v>
      </c>
      <c r="AS29" s="25">
        <f t="shared" si="1"/>
        <v>0.38022432432622333</v>
      </c>
      <c r="AT29" s="25">
        <f t="shared" si="1"/>
        <v>0.37264107838116656</v>
      </c>
      <c r="AU29" s="25">
        <f t="shared" si="1"/>
        <v>0.36520907373074579</v>
      </c>
      <c r="AV29" s="25">
        <f t="shared" si="1"/>
        <v>0.35792529399788875</v>
      </c>
      <c r="AW29" s="25">
        <f t="shared" si="1"/>
        <v>0.35078678296455984</v>
      </c>
      <c r="AX29" s="25">
        <f t="shared" si="1"/>
        <v>0.34379064337194087</v>
      </c>
      <c r="AY29" s="25">
        <f t="shared" si="1"/>
        <v>0.3369340357445394</v>
      </c>
      <c r="AZ29" s="25">
        <f t="shared" si="1"/>
        <v>0.33021417723775121</v>
      </c>
      <c r="BA29" s="25">
        <f t="shared" si="1"/>
        <v>0.32362834050840505</v>
      </c>
      <c r="BB29" s="25">
        <f t="shared" si="1"/>
        <v>0.31717385260783559</v>
      </c>
      <c r="BC29" s="25">
        <f t="shared" si="1"/>
        <v>0.31084809389703094</v>
      </c>
      <c r="BD29" s="25">
        <f t="shared" si="1"/>
        <v>0.30464849698341834</v>
      </c>
      <c r="BE29" s="25">
        <f t="shared" si="1"/>
        <v>0.29857254567885361</v>
      </c>
      <c r="BF29" s="25">
        <f t="shared" si="1"/>
        <v>0.29261777397839328</v>
      </c>
      <c r="BG29" s="25">
        <f t="shared" si="1"/>
        <v>0.28678176505943376</v>
      </c>
      <c r="BH29" s="25">
        <f t="shared" si="1"/>
        <v>0.28106215030081227</v>
      </c>
      <c r="BI29" s="25"/>
      <c r="BJ29" s="25"/>
      <c r="BK29" s="25"/>
      <c r="BL29" s="25"/>
      <c r="BM29" s="25"/>
      <c r="BN29" s="25"/>
      <c r="BO29" s="25"/>
      <c r="BP29" s="25"/>
      <c r="BQ29" s="25"/>
      <c r="BR29" s="25"/>
      <c r="BS29" s="25"/>
      <c r="BT29" s="25"/>
      <c r="BU29" s="25"/>
      <c r="BV29" s="25"/>
      <c r="BW29" s="25"/>
    </row>
    <row r="30" spans="1:75">
      <c r="A30" s="30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75" s="32" customFormat="1" ht="21">
      <c r="A31" s="240"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75">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AD32">
        <v>25</v>
      </c>
      <c r="BI32" s="23"/>
      <c r="BJ32" s="24"/>
      <c r="BK32" s="23"/>
      <c r="BL32" s="24"/>
      <c r="BM32" s="23"/>
      <c r="BN32" s="24"/>
      <c r="BO32" s="23"/>
      <c r="BP32" s="24"/>
      <c r="BQ32" s="23"/>
      <c r="BR32" s="24"/>
      <c r="BS32" s="23"/>
      <c r="BT32" s="24"/>
      <c r="BU32" s="23"/>
      <c r="BV32" s="24"/>
      <c r="BW32" s="23"/>
    </row>
    <row r="33" spans="1:75">
      <c r="A33" s="264"/>
      <c r="B33" s="26" t="s">
        <v>28</v>
      </c>
      <c r="C33" s="27"/>
      <c r="D33" s="27">
        <f>SUM(E33:CC33)</f>
        <v>-90888562.451659128</v>
      </c>
      <c r="E33" s="27"/>
      <c r="F33" s="27">
        <f t="shared" ref="F33:AD33" si="2">PMT($D$8,$D$12,$D$13)</f>
        <v>-3635542.4980663639</v>
      </c>
      <c r="G33" s="27">
        <f t="shared" si="2"/>
        <v>-3635542.4980663639</v>
      </c>
      <c r="H33" s="27">
        <f t="shared" si="2"/>
        <v>-3635542.4980663639</v>
      </c>
      <c r="I33" s="27">
        <f t="shared" si="2"/>
        <v>-3635542.4980663639</v>
      </c>
      <c r="J33" s="27">
        <f t="shared" si="2"/>
        <v>-3635542.4980663639</v>
      </c>
      <c r="K33" s="27">
        <f t="shared" si="2"/>
        <v>-3635542.4980663639</v>
      </c>
      <c r="L33" s="27">
        <f t="shared" si="2"/>
        <v>-3635542.4980663639</v>
      </c>
      <c r="M33" s="27">
        <f t="shared" si="2"/>
        <v>-3635542.4980663639</v>
      </c>
      <c r="N33" s="27">
        <f t="shared" si="2"/>
        <v>-3635542.4980663639</v>
      </c>
      <c r="O33" s="27">
        <f t="shared" si="2"/>
        <v>-3635542.4980663639</v>
      </c>
      <c r="P33" s="27">
        <f t="shared" si="2"/>
        <v>-3635542.4980663639</v>
      </c>
      <c r="Q33" s="27">
        <f t="shared" si="2"/>
        <v>-3635542.4980663639</v>
      </c>
      <c r="R33" s="27">
        <f t="shared" si="2"/>
        <v>-3635542.4980663639</v>
      </c>
      <c r="S33" s="27">
        <f t="shared" si="2"/>
        <v>-3635542.4980663639</v>
      </c>
      <c r="T33" s="27">
        <f t="shared" si="2"/>
        <v>-3635542.4980663639</v>
      </c>
      <c r="U33" s="27">
        <f t="shared" si="2"/>
        <v>-3635542.4980663639</v>
      </c>
      <c r="V33" s="27">
        <f t="shared" si="2"/>
        <v>-3635542.4980663639</v>
      </c>
      <c r="W33" s="27">
        <f t="shared" si="2"/>
        <v>-3635542.4980663639</v>
      </c>
      <c r="X33" s="27">
        <f t="shared" si="2"/>
        <v>-3635542.4980663639</v>
      </c>
      <c r="Y33" s="27">
        <f t="shared" si="2"/>
        <v>-3635542.4980663639</v>
      </c>
      <c r="Z33" s="27">
        <f t="shared" si="2"/>
        <v>-3635542.4980663639</v>
      </c>
      <c r="AA33" s="27">
        <f t="shared" si="2"/>
        <v>-3635542.4980663639</v>
      </c>
      <c r="AB33" s="27">
        <f t="shared" si="2"/>
        <v>-3635542.4980663639</v>
      </c>
      <c r="AC33" s="27">
        <f t="shared" si="2"/>
        <v>-3635542.4980663639</v>
      </c>
      <c r="AD33" s="27">
        <f t="shared" si="2"/>
        <v>-3635542.4980663639</v>
      </c>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64"/>
      <c r="B34" s="27"/>
      <c r="C34" s="27" t="s">
        <v>29</v>
      </c>
      <c r="D34" s="27">
        <f t="shared" ref="D34:D68" si="3">SUM(E34:CC34)</f>
        <v>-88000000</v>
      </c>
      <c r="E34" s="27"/>
      <c r="F34" s="27">
        <f t="shared" ref="F34:AD34" si="4">PPMT($D$8,F32,$D$12,$D$13)</f>
        <v>-3415542.4980663639</v>
      </c>
      <c r="G34" s="27">
        <f t="shared" si="4"/>
        <v>-3424081.35431153</v>
      </c>
      <c r="H34" s="27">
        <f t="shared" si="4"/>
        <v>-3432641.5576973087</v>
      </c>
      <c r="I34" s="27">
        <f t="shared" si="4"/>
        <v>-3441223.1615915522</v>
      </c>
      <c r="J34" s="27">
        <f t="shared" si="4"/>
        <v>-3449826.2194955307</v>
      </c>
      <c r="K34" s="27">
        <f t="shared" si="4"/>
        <v>-3458450.7850442696</v>
      </c>
      <c r="L34" s="27">
        <f t="shared" si="4"/>
        <v>-3467096.9120068802</v>
      </c>
      <c r="M34" s="27">
        <f t="shared" si="4"/>
        <v>-3475764.6542868977</v>
      </c>
      <c r="N34" s="27">
        <f t="shared" si="4"/>
        <v>-3484454.0659226151</v>
      </c>
      <c r="O34" s="27">
        <f t="shared" si="4"/>
        <v>-3493165.2010874213</v>
      </c>
      <c r="P34" s="27">
        <f t="shared" si="4"/>
        <v>-3501898.11409014</v>
      </c>
      <c r="Q34" s="27">
        <f t="shared" si="4"/>
        <v>-3510652.8593753655</v>
      </c>
      <c r="R34" s="27">
        <f t="shared" si="4"/>
        <v>-3519429.4915238037</v>
      </c>
      <c r="S34" s="27">
        <f t="shared" si="4"/>
        <v>-3528228.0652526133</v>
      </c>
      <c r="T34" s="27">
        <f t="shared" si="4"/>
        <v>-3537048.635415745</v>
      </c>
      <c r="U34" s="27">
        <f t="shared" si="4"/>
        <v>-3545891.2570042838</v>
      </c>
      <c r="V34" s="27">
        <f t="shared" si="4"/>
        <v>-3554755.9851467949</v>
      </c>
      <c r="W34" s="27">
        <f t="shared" si="4"/>
        <v>-3563642.8751096618</v>
      </c>
      <c r="X34" s="27">
        <f t="shared" si="4"/>
        <v>-3572551.9822974359</v>
      </c>
      <c r="Y34" s="27">
        <f t="shared" si="4"/>
        <v>-3581483.3622531798</v>
      </c>
      <c r="Z34" s="27">
        <f t="shared" si="4"/>
        <v>-3590437.0706588128</v>
      </c>
      <c r="AA34" s="27">
        <f t="shared" si="4"/>
        <v>-3599413.1633354593</v>
      </c>
      <c r="AB34" s="27">
        <f t="shared" si="4"/>
        <v>-3608411.6962437984</v>
      </c>
      <c r="AC34" s="27">
        <f t="shared" si="4"/>
        <v>-3617432.7254844075</v>
      </c>
      <c r="AD34" s="27">
        <f t="shared" si="4"/>
        <v>-3626476.3072981192</v>
      </c>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64"/>
      <c r="B35" s="27"/>
      <c r="C35" s="27" t="s">
        <v>30</v>
      </c>
      <c r="D35" s="27">
        <f t="shared" si="3"/>
        <v>-2888562.4516591108</v>
      </c>
      <c r="E35" s="27"/>
      <c r="F35" s="27">
        <f t="shared" ref="F35:AD35" si="5">IPMT($D$8,F32,$D$12,$D13)</f>
        <v>-220000</v>
      </c>
      <c r="G35" s="27">
        <f t="shared" si="5"/>
        <v>-211461.14375483408</v>
      </c>
      <c r="H35" s="27">
        <f t="shared" si="5"/>
        <v>-202900.94036905529</v>
      </c>
      <c r="I35" s="27">
        <f t="shared" si="5"/>
        <v>-194319.33647481195</v>
      </c>
      <c r="J35" s="27">
        <f t="shared" si="5"/>
        <v>-185716.27857083309</v>
      </c>
      <c r="K35" s="27">
        <f t="shared" si="5"/>
        <v>-177091.71302209431</v>
      </c>
      <c r="L35" s="27">
        <f t="shared" si="5"/>
        <v>-168445.58605948358</v>
      </c>
      <c r="M35" s="27">
        <f t="shared" si="5"/>
        <v>-159777.84377946641</v>
      </c>
      <c r="N35" s="27">
        <f t="shared" si="5"/>
        <v>-151088.43214374915</v>
      </c>
      <c r="O35" s="27">
        <f t="shared" si="5"/>
        <v>-142377.29697894261</v>
      </c>
      <c r="P35" s="27">
        <f t="shared" si="5"/>
        <v>-133644.38397622405</v>
      </c>
      <c r="Q35" s="27">
        <f t="shared" si="5"/>
        <v>-124889.63869099872</v>
      </c>
      <c r="R35" s="27">
        <f t="shared" si="5"/>
        <v>-116113.0065425603</v>
      </c>
      <c r="S35" s="27">
        <f t="shared" si="5"/>
        <v>-107314.43281375078</v>
      </c>
      <c r="T35" s="27">
        <f t="shared" si="5"/>
        <v>-98493.862650619238</v>
      </c>
      <c r="U35" s="27">
        <f t="shared" si="5"/>
        <v>-89651.241062079891</v>
      </c>
      <c r="V35" s="27">
        <f t="shared" si="5"/>
        <v>-80786.512919569155</v>
      </c>
      <c r="W35" s="27">
        <f t="shared" si="5"/>
        <v>-71899.622956702195</v>
      </c>
      <c r="X35" s="27">
        <f t="shared" si="5"/>
        <v>-62990.515768928039</v>
      </c>
      <c r="Y35" s="27">
        <f t="shared" si="5"/>
        <v>-54059.135813184446</v>
      </c>
      <c r="Z35" s="27">
        <f t="shared" si="5"/>
        <v>-45105.427407551491</v>
      </c>
      <c r="AA35" s="27">
        <f t="shared" si="5"/>
        <v>-36129.334730904462</v>
      </c>
      <c r="AB35" s="27">
        <f t="shared" si="5"/>
        <v>-27130.801822565812</v>
      </c>
      <c r="AC35" s="27">
        <f t="shared" si="5"/>
        <v>-18109.772581956317</v>
      </c>
      <c r="AD35" s="27">
        <f t="shared" si="5"/>
        <v>-9066.1907682452984</v>
      </c>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64"/>
      <c r="B36" s="33" t="s">
        <v>31</v>
      </c>
      <c r="C36" s="33"/>
      <c r="D36" s="27"/>
      <c r="E36" s="34">
        <f>D13</f>
        <v>88000000</v>
      </c>
      <c r="F36" s="34">
        <f>E36+F34</f>
        <v>84584457.501933634</v>
      </c>
      <c r="G36" s="34">
        <f t="shared" ref="G36:AD36" si="6">F$36+G$34</f>
        <v>81160376.147622108</v>
      </c>
      <c r="H36" s="34">
        <f t="shared" si="6"/>
        <v>77727734.589924797</v>
      </c>
      <c r="I36" s="34">
        <f t="shared" si="6"/>
        <v>74286511.428333253</v>
      </c>
      <c r="J36" s="34">
        <f t="shared" si="6"/>
        <v>70836685.208837718</v>
      </c>
      <c r="K36" s="34">
        <f t="shared" si="6"/>
        <v>67378234.42379345</v>
      </c>
      <c r="L36" s="34">
        <f t="shared" si="6"/>
        <v>63911137.511786573</v>
      </c>
      <c r="M36" s="34">
        <f t="shared" si="6"/>
        <v>60435372.857499674</v>
      </c>
      <c r="N36" s="34">
        <f t="shared" si="6"/>
        <v>56950918.791577056</v>
      </c>
      <c r="O36" s="34">
        <f t="shared" si="6"/>
        <v>53457753.590489633</v>
      </c>
      <c r="P36" s="34">
        <f t="shared" si="6"/>
        <v>49955855.476399496</v>
      </c>
      <c r="Q36" s="34">
        <f t="shared" si="6"/>
        <v>46445202.617024131</v>
      </c>
      <c r="R36" s="34">
        <f t="shared" si="6"/>
        <v>42925773.125500329</v>
      </c>
      <c r="S36" s="34">
        <f t="shared" si="6"/>
        <v>39397545.060247719</v>
      </c>
      <c r="T36" s="34">
        <f t="shared" si="6"/>
        <v>35860496.424831972</v>
      </c>
      <c r="U36" s="34">
        <f t="shared" si="6"/>
        <v>32314605.167827688</v>
      </c>
      <c r="V36" s="34">
        <f t="shared" si="6"/>
        <v>28759849.182680894</v>
      </c>
      <c r="W36" s="34">
        <f t="shared" si="6"/>
        <v>25196206.307571232</v>
      </c>
      <c r="X36" s="34">
        <f t="shared" si="6"/>
        <v>21623654.325273797</v>
      </c>
      <c r="Y36" s="34">
        <f t="shared" si="6"/>
        <v>18042170.963020615</v>
      </c>
      <c r="Z36" s="34">
        <f t="shared" si="6"/>
        <v>14451733.892361803</v>
      </c>
      <c r="AA36" s="34">
        <f t="shared" si="6"/>
        <v>10852320.729026344</v>
      </c>
      <c r="AB36" s="34">
        <f t="shared" si="6"/>
        <v>7243909.0327825453</v>
      </c>
      <c r="AC36" s="34">
        <f t="shared" si="6"/>
        <v>3626476.3072981378</v>
      </c>
      <c r="AD36" s="34">
        <f t="shared" si="6"/>
        <v>1.862645149230957E-8</v>
      </c>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64"/>
      <c r="B37" s="26" t="s">
        <v>32</v>
      </c>
      <c r="C37" s="27"/>
      <c r="D37" s="27">
        <f t="shared" si="3"/>
        <v>-60165805.913159579</v>
      </c>
      <c r="E37" s="34"/>
      <c r="F37" s="34">
        <f t="shared" ref="F37:AD37" si="7">F33*F29</f>
        <v>-3032680.8324916428</v>
      </c>
      <c r="G37" s="34">
        <f t="shared" si="7"/>
        <v>-2972196.6310497792</v>
      </c>
      <c r="H37" s="34">
        <f t="shared" si="7"/>
        <v>-2912918.7347966665</v>
      </c>
      <c r="I37" s="34">
        <f t="shared" si="7"/>
        <v>-2854823.0850165789</v>
      </c>
      <c r="J37" s="34">
        <f t="shared" si="7"/>
        <v>-2797886.1028241077</v>
      </c>
      <c r="K37" s="34">
        <f t="shared" si="7"/>
        <v>-2742084.6795943617</v>
      </c>
      <c r="L37" s="34">
        <f t="shared" si="7"/>
        <v>-2687396.1675840272</v>
      </c>
      <c r="M37" s="34">
        <f t="shared" si="7"/>
        <v>-2633798.3707394777</v>
      </c>
      <c r="N37" s="34">
        <f t="shared" si="7"/>
        <v>-2581269.5356882224</v>
      </c>
      <c r="O37" s="34">
        <f t="shared" si="7"/>
        <v>-2529788.3429100034</v>
      </c>
      <c r="P37" s="34">
        <f t="shared" si="7"/>
        <v>-2479333.8980839937</v>
      </c>
      <c r="Q37" s="34">
        <f t="shared" si="7"/>
        <v>-2429885.723608559</v>
      </c>
      <c r="R37" s="34">
        <f t="shared" si="7"/>
        <v>-2381423.7502901545</v>
      </c>
      <c r="S37" s="34">
        <f t="shared" si="7"/>
        <v>-2333928.3091979749</v>
      </c>
      <c r="T37" s="34">
        <f t="shared" si="7"/>
        <v>-2287380.1236810652</v>
      </c>
      <c r="U37" s="34">
        <f t="shared" si="7"/>
        <v>-2241760.3015446318</v>
      </c>
      <c r="V37" s="34">
        <f t="shared" si="7"/>
        <v>-2197050.3273823997</v>
      </c>
      <c r="W37" s="34">
        <f t="shared" si="7"/>
        <v>-2153232.0550618898</v>
      </c>
      <c r="X37" s="34">
        <f t="shared" si="7"/>
        <v>-2110287.7003595727</v>
      </c>
      <c r="Y37" s="34">
        <f t="shared" si="7"/>
        <v>-2068199.833742904</v>
      </c>
      <c r="Z37" s="34">
        <f t="shared" si="7"/>
        <v>-2026951.3732963235</v>
      </c>
      <c r="AA37" s="34">
        <f t="shared" si="7"/>
        <v>-1986525.5777883306</v>
      </c>
      <c r="AB37" s="34">
        <f t="shared" si="7"/>
        <v>-1946906.0398768373</v>
      </c>
      <c r="AC37" s="34">
        <f t="shared" si="7"/>
        <v>-1908076.6794500281</v>
      </c>
      <c r="AD37" s="34">
        <f t="shared" si="7"/>
        <v>-1870021.7371000424</v>
      </c>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64"/>
      <c r="B38" s="27"/>
      <c r="C38" s="27" t="s">
        <v>29</v>
      </c>
      <c r="D38" s="27">
        <f t="shared" si="3"/>
        <v>-58102012.040465958</v>
      </c>
      <c r="E38" s="34"/>
      <c r="F38" s="34">
        <f t="shared" ref="F38:AD38" si="8">F34*F29</f>
        <v>-2849162.2012273902</v>
      </c>
      <c r="G38" s="34">
        <f t="shared" si="8"/>
        <v>-2799318.965776898</v>
      </c>
      <c r="H38" s="34">
        <f t="shared" si="8"/>
        <v>-2750347.6877457146</v>
      </c>
      <c r="I38" s="34">
        <f t="shared" si="8"/>
        <v>-2702233.1131132245</v>
      </c>
      <c r="J38" s="34">
        <f t="shared" si="8"/>
        <v>-2654960.2547126054</v>
      </c>
      <c r="K38" s="34">
        <f t="shared" si="8"/>
        <v>-2608514.3875624896</v>
      </c>
      <c r="L38" s="34">
        <f t="shared" si="8"/>
        <v>-2562881.0442802925</v>
      </c>
      <c r="M38" s="34">
        <f t="shared" si="8"/>
        <v>-2518046.0105757751</v>
      </c>
      <c r="N38" s="34">
        <f t="shared" si="8"/>
        <v>-2473995.3208234576</v>
      </c>
      <c r="O38" s="34">
        <f t="shared" si="8"/>
        <v>-2430715.2537124665</v>
      </c>
      <c r="P38" s="34">
        <f t="shared" si="8"/>
        <v>-2388192.3279725071</v>
      </c>
      <c r="Q38" s="34">
        <f t="shared" si="8"/>
        <v>-2346413.2981745852</v>
      </c>
      <c r="R38" s="34">
        <f t="shared" si="8"/>
        <v>-2305365.1506052059</v>
      </c>
      <c r="S38" s="34">
        <f t="shared" si="8"/>
        <v>-2265035.0992127387</v>
      </c>
      <c r="T38" s="34">
        <f t="shared" si="8"/>
        <v>-2225410.5816247077</v>
      </c>
      <c r="U38" s="34">
        <f t="shared" si="8"/>
        <v>-2186479.2552347421</v>
      </c>
      <c r="V38" s="34">
        <f t="shared" si="8"/>
        <v>-2148228.9933579937</v>
      </c>
      <c r="W38" s="34">
        <f t="shared" si="8"/>
        <v>-2110647.8814538033</v>
      </c>
      <c r="X38" s="34">
        <f t="shared" si="8"/>
        <v>-2073724.2134144537</v>
      </c>
      <c r="Y38" s="34">
        <f t="shared" si="8"/>
        <v>-2037446.4879188412</v>
      </c>
      <c r="Z38" s="34">
        <f t="shared" si="8"/>
        <v>-2001803.4048499416</v>
      </c>
      <c r="AA38" s="34">
        <f t="shared" si="8"/>
        <v>-1966783.8617749459</v>
      </c>
      <c r="AB38" s="34">
        <f t="shared" si="8"/>
        <v>-1932376.9504869736</v>
      </c>
      <c r="AC38" s="34">
        <f t="shared" si="8"/>
        <v>-1898571.9536072817</v>
      </c>
      <c r="AD38" s="34">
        <f t="shared" si="8"/>
        <v>-1865358.3412469253</v>
      </c>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64"/>
      <c r="B39" s="27"/>
      <c r="C39" s="27" t="s">
        <v>30</v>
      </c>
      <c r="D39" s="27">
        <f t="shared" si="3"/>
        <v>-2063793.8726936176</v>
      </c>
      <c r="E39" s="34"/>
      <c r="F39" s="34">
        <f t="shared" ref="F39:AD39" si="9">F35*F29</f>
        <v>-183518.63126425276</v>
      </c>
      <c r="G39" s="34">
        <f t="shared" si="9"/>
        <v>-172877.6652728811</v>
      </c>
      <c r="H39" s="34">
        <f t="shared" si="9"/>
        <v>-162571.04705095201</v>
      </c>
      <c r="I39" s="34">
        <f t="shared" si="9"/>
        <v>-152589.9719033544</v>
      </c>
      <c r="J39" s="34">
        <f t="shared" si="9"/>
        <v>-142925.84811150224</v>
      </c>
      <c r="K39" s="34">
        <f t="shared" si="9"/>
        <v>-133570.29203187212</v>
      </c>
      <c r="L39" s="34">
        <f t="shared" si="9"/>
        <v>-124515.12330373489</v>
      </c>
      <c r="M39" s="34">
        <f t="shared" si="9"/>
        <v>-115752.36016370276</v>
      </c>
      <c r="N39" s="34">
        <f t="shared" si="9"/>
        <v>-107274.21486476535</v>
      </c>
      <c r="O39" s="34">
        <f t="shared" si="9"/>
        <v>-99073.089197536814</v>
      </c>
      <c r="P39" s="34">
        <f t="shared" si="9"/>
        <v>-91141.570111486872</v>
      </c>
      <c r="Q39" s="34">
        <f t="shared" si="9"/>
        <v>-83472.425433974218</v>
      </c>
      <c r="R39" s="34">
        <f t="shared" si="9"/>
        <v>-76058.599684949048</v>
      </c>
      <c r="S39" s="34">
        <f t="shared" si="9"/>
        <v>-68893.209985236448</v>
      </c>
      <c r="T39" s="34">
        <f t="shared" si="9"/>
        <v>-61969.542056357706</v>
      </c>
      <c r="U39" s="34">
        <f t="shared" si="9"/>
        <v>-55281.046309889687</v>
      </c>
      <c r="V39" s="34">
        <f t="shared" si="9"/>
        <v>-48821.33402440614</v>
      </c>
      <c r="W39" s="34">
        <f t="shared" si="9"/>
        <v>-42584.173608086603</v>
      </c>
      <c r="X39" s="34">
        <f t="shared" si="9"/>
        <v>-36563.486945118922</v>
      </c>
      <c r="Y39" s="34">
        <f t="shared" si="9"/>
        <v>-30753.345824063101</v>
      </c>
      <c r="Z39" s="34">
        <f t="shared" si="9"/>
        <v>-25147.968446382114</v>
      </c>
      <c r="AA39" s="34">
        <f t="shared" si="9"/>
        <v>-19741.716013384877</v>
      </c>
      <c r="AB39" s="34">
        <f t="shared" si="9"/>
        <v>-14529.089389863784</v>
      </c>
      <c r="AC39" s="34">
        <f t="shared" si="9"/>
        <v>-9504.7258427464549</v>
      </c>
      <c r="AD39" s="34">
        <f t="shared" si="9"/>
        <v>-4663.3958531173139</v>
      </c>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30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40"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241"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G43">
        <v>2</v>
      </c>
      <c r="H43">
        <v>3</v>
      </c>
      <c r="I43">
        <v>4</v>
      </c>
      <c r="J43">
        <v>5</v>
      </c>
      <c r="K43">
        <v>6</v>
      </c>
      <c r="L43">
        <v>7</v>
      </c>
      <c r="M43">
        <v>8</v>
      </c>
      <c r="N43">
        <v>9</v>
      </c>
      <c r="BI43" s="23"/>
      <c r="BJ43" s="24"/>
      <c r="BK43" s="23"/>
      <c r="BL43" s="24"/>
      <c r="BM43" s="23"/>
      <c r="BN43" s="24"/>
      <c r="BO43" s="23"/>
      <c r="BP43" s="24"/>
      <c r="BQ43" s="23"/>
      <c r="BR43" s="24"/>
      <c r="BS43" s="23"/>
      <c r="BT43" s="24"/>
      <c r="BU43" s="23"/>
      <c r="BV43" s="24"/>
      <c r="BW43" s="23"/>
    </row>
    <row r="44" spans="1:75">
      <c r="A44" s="308"/>
      <c r="B44" s="26" t="s">
        <v>28</v>
      </c>
      <c r="C44" s="27"/>
      <c r="D44" s="27">
        <f t="shared" si="3"/>
        <v>-32719882.482597284</v>
      </c>
      <c r="E44" s="34"/>
      <c r="F44" s="34">
        <f t="shared" ref="F44:N44" si="10">PMT($D$8,$D$12,$D$13)</f>
        <v>-3635542.4980663639</v>
      </c>
      <c r="G44" s="34">
        <f t="shared" si="10"/>
        <v>-3635542.4980663639</v>
      </c>
      <c r="H44" s="34">
        <f t="shared" si="10"/>
        <v>-3635542.4980663639</v>
      </c>
      <c r="I44" s="34">
        <f t="shared" si="10"/>
        <v>-3635542.4980663639</v>
      </c>
      <c r="J44" s="34">
        <f t="shared" si="10"/>
        <v>-3635542.4980663639</v>
      </c>
      <c r="K44" s="34">
        <f t="shared" si="10"/>
        <v>-3635542.4980663639</v>
      </c>
      <c r="L44" s="34">
        <f t="shared" si="10"/>
        <v>-3635542.4980663639</v>
      </c>
      <c r="M44" s="34">
        <f t="shared" si="10"/>
        <v>-3635542.4980663639</v>
      </c>
      <c r="N44" s="34">
        <f t="shared" si="10"/>
        <v>-3635542.4980663639</v>
      </c>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308"/>
      <c r="B45" s="27"/>
      <c r="C45" s="27" t="s">
        <v>29</v>
      </c>
      <c r="D45" s="27">
        <f t="shared" si="3"/>
        <v>-31049081.208422951</v>
      </c>
      <c r="E45" s="34"/>
      <c r="F45" s="34">
        <f>PPMT($D$8,F43, $D$12,$D$13)</f>
        <v>-3415542.4980663639</v>
      </c>
      <c r="G45" s="34">
        <f t="shared" ref="G45:N45" si="11">PPMT($D$8,G43, $D$12,$D$13)</f>
        <v>-3424081.35431153</v>
      </c>
      <c r="H45" s="34">
        <f t="shared" si="11"/>
        <v>-3432641.5576973087</v>
      </c>
      <c r="I45" s="34">
        <f t="shared" si="11"/>
        <v>-3441223.1615915522</v>
      </c>
      <c r="J45" s="34">
        <f t="shared" si="11"/>
        <v>-3449826.2194955307</v>
      </c>
      <c r="K45" s="34">
        <f t="shared" si="11"/>
        <v>-3458450.7850442696</v>
      </c>
      <c r="L45" s="34">
        <f t="shared" si="11"/>
        <v>-3467096.9120068802</v>
      </c>
      <c r="M45" s="34">
        <f t="shared" si="11"/>
        <v>-3475764.6542868977</v>
      </c>
      <c r="N45" s="34">
        <f t="shared" si="11"/>
        <v>-3484454.0659226151</v>
      </c>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308"/>
      <c r="B46" s="27"/>
      <c r="C46" s="27" t="s">
        <v>30</v>
      </c>
      <c r="D46" s="27">
        <f t="shared" si="3"/>
        <v>-1670801.2741743277</v>
      </c>
      <c r="E46" s="27"/>
      <c r="F46" s="34">
        <f>IPMT($D$8, F43, $D$12,$D$13)</f>
        <v>-220000</v>
      </c>
      <c r="G46" s="34">
        <f t="shared" ref="G46:N46" si="12">IPMT($D$8, G43, $D$12,$D$13)</f>
        <v>-211461.14375483408</v>
      </c>
      <c r="H46" s="34">
        <f t="shared" si="12"/>
        <v>-202900.94036905529</v>
      </c>
      <c r="I46" s="34">
        <f t="shared" si="12"/>
        <v>-194319.33647481195</v>
      </c>
      <c r="J46" s="34">
        <f t="shared" si="12"/>
        <v>-185716.27857083309</v>
      </c>
      <c r="K46" s="34">
        <f t="shared" si="12"/>
        <v>-177091.71302209431</v>
      </c>
      <c r="L46" s="34">
        <f t="shared" si="12"/>
        <v>-168445.58605948358</v>
      </c>
      <c r="M46" s="34">
        <f t="shared" si="12"/>
        <v>-159777.84377946641</v>
      </c>
      <c r="N46" s="34">
        <f t="shared" si="12"/>
        <v>-151088.43214374915</v>
      </c>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308"/>
      <c r="B47" s="33" t="s">
        <v>31</v>
      </c>
      <c r="C47" s="42"/>
      <c r="D47" s="27"/>
      <c r="E47" s="27">
        <f>D13</f>
        <v>88000000</v>
      </c>
      <c r="F47" s="27">
        <f t="shared" ref="F47:N47" si="13">E47+F45</f>
        <v>84584457.501933634</v>
      </c>
      <c r="G47" s="27">
        <f t="shared" si="13"/>
        <v>81160376.147622108</v>
      </c>
      <c r="H47" s="27">
        <f t="shared" si="13"/>
        <v>77727734.589924797</v>
      </c>
      <c r="I47" s="27">
        <f t="shared" si="13"/>
        <v>74286511.428333253</v>
      </c>
      <c r="J47" s="27">
        <f t="shared" si="13"/>
        <v>70836685.208837718</v>
      </c>
      <c r="K47" s="27">
        <f t="shared" si="13"/>
        <v>67378234.42379345</v>
      </c>
      <c r="L47" s="27">
        <f t="shared" si="13"/>
        <v>63911137.511786573</v>
      </c>
      <c r="M47" s="27">
        <f t="shared" si="13"/>
        <v>60435372.857499674</v>
      </c>
      <c r="N47" s="27">
        <f t="shared" si="13"/>
        <v>56950918.791577056</v>
      </c>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307"/>
      <c r="B48" s="26" t="s">
        <v>32</v>
      </c>
      <c r="C48" s="27"/>
      <c r="D48" s="27">
        <f t="shared" si="3"/>
        <v>-25215054.139784861</v>
      </c>
      <c r="E48" s="27"/>
      <c r="F48" s="27">
        <f t="shared" ref="F48:N48" si="14">F44*F29</f>
        <v>-3032680.8324916428</v>
      </c>
      <c r="G48" s="27">
        <f t="shared" si="14"/>
        <v>-2972196.6310497792</v>
      </c>
      <c r="H48" s="27">
        <f t="shared" si="14"/>
        <v>-2912918.7347966665</v>
      </c>
      <c r="I48" s="27">
        <f t="shared" si="14"/>
        <v>-2854823.0850165789</v>
      </c>
      <c r="J48" s="27">
        <f t="shared" si="14"/>
        <v>-2797886.1028241077</v>
      </c>
      <c r="K48" s="27">
        <f t="shared" si="14"/>
        <v>-2742084.6795943617</v>
      </c>
      <c r="L48" s="27">
        <f t="shared" si="14"/>
        <v>-2687396.1675840272</v>
      </c>
      <c r="M48" s="27">
        <f t="shared" si="14"/>
        <v>-2633798.3707394777</v>
      </c>
      <c r="N48" s="27">
        <f t="shared" si="14"/>
        <v>-2581269.5356882224</v>
      </c>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64"/>
      <c r="B49" s="27"/>
      <c r="C49" s="27" t="s">
        <v>29</v>
      </c>
      <c r="D49" s="27">
        <f t="shared" si="3"/>
        <v>-23919458.98581785</v>
      </c>
      <c r="E49" s="27"/>
      <c r="F49" s="27">
        <f t="shared" ref="F49:N49" si="15">F45*F29</f>
        <v>-2849162.2012273902</v>
      </c>
      <c r="G49" s="27">
        <f t="shared" si="15"/>
        <v>-2799318.965776898</v>
      </c>
      <c r="H49" s="27">
        <f t="shared" si="15"/>
        <v>-2750347.6877457146</v>
      </c>
      <c r="I49" s="27">
        <f t="shared" si="15"/>
        <v>-2702233.1131132245</v>
      </c>
      <c r="J49" s="27">
        <f t="shared" si="15"/>
        <v>-2654960.2547126054</v>
      </c>
      <c r="K49" s="27">
        <f t="shared" si="15"/>
        <v>-2608514.3875624896</v>
      </c>
      <c r="L49" s="27">
        <f t="shared" si="15"/>
        <v>-2562881.0442802925</v>
      </c>
      <c r="M49" s="27">
        <f t="shared" si="15"/>
        <v>-2518046.0105757751</v>
      </c>
      <c r="N49" s="27">
        <f t="shared" si="15"/>
        <v>-2473995.3208234576</v>
      </c>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64"/>
      <c r="B50" s="27"/>
      <c r="C50" s="27" t="s">
        <v>30</v>
      </c>
      <c r="D50" s="27">
        <f t="shared" si="3"/>
        <v>-1295595.1539670175</v>
      </c>
      <c r="E50" s="27"/>
      <c r="F50" s="27">
        <f t="shared" ref="F50:N50" si="16">F46*F29</f>
        <v>-183518.63126425276</v>
      </c>
      <c r="G50" s="27">
        <f t="shared" si="16"/>
        <v>-172877.6652728811</v>
      </c>
      <c r="H50" s="27">
        <f t="shared" si="16"/>
        <v>-162571.04705095201</v>
      </c>
      <c r="I50" s="27">
        <f t="shared" si="16"/>
        <v>-152589.9719033544</v>
      </c>
      <c r="J50" s="27">
        <f t="shared" si="16"/>
        <v>-142925.84811150224</v>
      </c>
      <c r="K50" s="27">
        <f t="shared" si="16"/>
        <v>-133570.29203187212</v>
      </c>
      <c r="L50" s="27">
        <f t="shared" si="16"/>
        <v>-124515.12330373489</v>
      </c>
      <c r="M50" s="27">
        <f t="shared" si="16"/>
        <v>-115752.36016370276</v>
      </c>
      <c r="N50" s="27">
        <f t="shared" si="16"/>
        <v>-107274.21486476535</v>
      </c>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241"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O52">
        <v>1</v>
      </c>
      <c r="P52">
        <v>2</v>
      </c>
      <c r="Q52">
        <v>3</v>
      </c>
      <c r="R52">
        <v>4</v>
      </c>
      <c r="S52">
        <v>5</v>
      </c>
      <c r="T52">
        <v>6</v>
      </c>
      <c r="BI52" s="23"/>
      <c r="BJ52" s="24"/>
      <c r="BK52" s="23"/>
      <c r="BL52" s="24"/>
      <c r="BM52" s="23"/>
      <c r="BN52" s="24"/>
      <c r="BO52" s="23"/>
      <c r="BP52" s="24"/>
      <c r="BQ52" s="23"/>
      <c r="BR52" s="24"/>
      <c r="BS52" s="23"/>
      <c r="BT52" s="24"/>
      <c r="BU52" s="23"/>
      <c r="BV52" s="24"/>
      <c r="BW52" s="23"/>
    </row>
    <row r="53" spans="1:75">
      <c r="A53" s="41"/>
      <c r="B53" s="26" t="s">
        <v>28</v>
      </c>
      <c r="C53" s="27"/>
      <c r="D53" s="27">
        <f t="shared" si="3"/>
        <v>-19150092.066418864</v>
      </c>
      <c r="E53" s="34"/>
      <c r="F53" s="34"/>
      <c r="G53" s="34"/>
      <c r="H53" s="34"/>
      <c r="I53" s="34"/>
      <c r="J53" s="34"/>
      <c r="K53" s="34"/>
      <c r="L53" s="34"/>
      <c r="M53" s="34"/>
      <c r="N53" s="34"/>
      <c r="O53" s="34">
        <f t="shared" ref="O53:T53" si="17">PMT($D$8,6,$D$24/3)</f>
        <v>-3191682.0110698105</v>
      </c>
      <c r="P53" s="34">
        <f t="shared" si="17"/>
        <v>-3191682.0110698105</v>
      </c>
      <c r="Q53" s="34">
        <f t="shared" si="17"/>
        <v>-3191682.0110698105</v>
      </c>
      <c r="R53" s="34">
        <f t="shared" si="17"/>
        <v>-3191682.0110698105</v>
      </c>
      <c r="S53" s="34">
        <f t="shared" si="17"/>
        <v>-3191682.0110698105</v>
      </c>
      <c r="T53" s="34">
        <f t="shared" si="17"/>
        <v>-3191682.0110698105</v>
      </c>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-18983639.597192351</v>
      </c>
      <c r="E54" s="34"/>
      <c r="F54" s="34"/>
      <c r="G54" s="34"/>
      <c r="H54" s="34"/>
      <c r="I54" s="34"/>
      <c r="J54" s="34"/>
      <c r="K54" s="34"/>
      <c r="L54" s="34"/>
      <c r="M54" s="34"/>
      <c r="N54" s="34"/>
      <c r="O54" s="34">
        <f>PPMT($D$8,O52,6,$D$24/3)</f>
        <v>-3144222.9120768299</v>
      </c>
      <c r="P54" s="34">
        <f t="shared" ref="P54:T54" si="18">PPMT($D$8,P52,6,$D$24/3)</f>
        <v>-3152083.4693570216</v>
      </c>
      <c r="Q54" s="34">
        <f t="shared" si="18"/>
        <v>-3159963.678030414</v>
      </c>
      <c r="R54" s="34">
        <f t="shared" si="18"/>
        <v>-3167863.5872254902</v>
      </c>
      <c r="S54" s="34">
        <f t="shared" si="18"/>
        <v>-3175783.2461935538</v>
      </c>
      <c r="T54" s="34">
        <f t="shared" si="18"/>
        <v>-3183722.7043090379</v>
      </c>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-166452.46922651521</v>
      </c>
      <c r="E55" s="27"/>
      <c r="F55" s="27"/>
      <c r="G55" s="27"/>
      <c r="H55" s="27"/>
      <c r="I55" s="27"/>
      <c r="J55" s="27"/>
      <c r="K55" s="27"/>
      <c r="L55" s="27"/>
      <c r="M55" s="27"/>
      <c r="N55" s="27"/>
      <c r="O55" s="34">
        <f>IPMT($D$8,O52,6,$D$24/3)</f>
        <v>-47459.098992980878</v>
      </c>
      <c r="P55" s="34">
        <f t="shared" ref="P55:T55" si="19">IPMT($D$8,P52,6,$D$24/3)</f>
        <v>-39598.541712788799</v>
      </c>
      <c r="Q55" s="34">
        <f t="shared" si="19"/>
        <v>-31718.333039396242</v>
      </c>
      <c r="R55" s="34">
        <f t="shared" si="19"/>
        <v>-23818.423844320205</v>
      </c>
      <c r="S55" s="34">
        <f t="shared" si="19"/>
        <v>-15898.764876256479</v>
      </c>
      <c r="T55" s="34">
        <f t="shared" si="19"/>
        <v>-7959.3067607725961</v>
      </c>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56950918.791577056</v>
      </c>
      <c r="F56" s="27"/>
      <c r="G56" s="27"/>
      <c r="H56" s="27"/>
      <c r="I56" s="27"/>
      <c r="J56" s="27"/>
      <c r="K56" s="27"/>
      <c r="L56" s="27"/>
      <c r="M56" s="27"/>
      <c r="N56" s="27"/>
      <c r="O56" s="27">
        <f>E56+O54</f>
        <v>53806695.879500225</v>
      </c>
      <c r="P56" s="27">
        <f>O56+P54</f>
        <v>50654612.410143204</v>
      </c>
      <c r="Q56" s="27">
        <f t="shared" ref="Q56:T56" si="20">P56+Q54</f>
        <v>47494648.732112788</v>
      </c>
      <c r="R56" s="27">
        <f t="shared" si="20"/>
        <v>44326785.144887298</v>
      </c>
      <c r="S56" s="27">
        <f t="shared" si="20"/>
        <v>41151001.898693748</v>
      </c>
      <c r="T56" s="27">
        <f t="shared" si="20"/>
        <v>37967279.194384709</v>
      </c>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-12678559.599483019</v>
      </c>
      <c r="E57" s="27"/>
      <c r="F57" s="27"/>
      <c r="G57" s="27"/>
      <c r="H57" s="27"/>
      <c r="I57" s="27"/>
      <c r="J57" s="27"/>
      <c r="K57" s="27"/>
      <c r="L57" s="27"/>
      <c r="M57" s="27"/>
      <c r="N57" s="27"/>
      <c r="O57" s="27">
        <f>O53*O$29</f>
        <v>-2220928.4997148104</v>
      </c>
      <c r="P57" s="27">
        <f t="shared" ref="P57:T59" si="21">P53*P$29</f>
        <v>-2176633.9978583916</v>
      </c>
      <c r="Q57" s="27">
        <f t="shared" si="21"/>
        <v>-2133222.9116071849</v>
      </c>
      <c r="R57" s="27">
        <f t="shared" si="21"/>
        <v>-2090677.6219994954</v>
      </c>
      <c r="S57" s="27">
        <f t="shared" si="21"/>
        <v>-2048980.8614686085</v>
      </c>
      <c r="T57" s="27">
        <f t="shared" si="21"/>
        <v>-2008115.706834526</v>
      </c>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-12566514.229425427</v>
      </c>
      <c r="E58" s="27"/>
      <c r="F58" s="27"/>
      <c r="G58" s="27"/>
      <c r="H58" s="27"/>
      <c r="I58" s="27"/>
      <c r="J58" s="27"/>
      <c r="K58" s="27"/>
      <c r="L58" s="27"/>
      <c r="M58" s="27"/>
      <c r="N58" s="27"/>
      <c r="O58" s="27">
        <f>O54*O$29</f>
        <v>-2187904.1366489651</v>
      </c>
      <c r="P58" s="27">
        <f t="shared" si="21"/>
        <v>-2149628.9479008052</v>
      </c>
      <c r="Q58" s="27">
        <f t="shared" si="21"/>
        <v>-2112023.345195822</v>
      </c>
      <c r="R58" s="27">
        <f t="shared" si="21"/>
        <v>-2075075.614797679</v>
      </c>
      <c r="S58" s="27">
        <f t="shared" si="21"/>
        <v>-2038774.2478901085</v>
      </c>
      <c r="T58" s="27">
        <f t="shared" si="21"/>
        <v>-2003107.936992046</v>
      </c>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-112045.37005759147</v>
      </c>
      <c r="E59" s="27"/>
      <c r="F59" s="27"/>
      <c r="G59" s="27"/>
      <c r="H59" s="27"/>
      <c r="I59" s="27"/>
      <c r="J59" s="27"/>
      <c r="K59" s="27"/>
      <c r="L59" s="27"/>
      <c r="M59" s="27"/>
      <c r="N59" s="27"/>
      <c r="O59" s="27">
        <f>O55*O$29</f>
        <v>-33024.36306584561</v>
      </c>
      <c r="P59" s="27">
        <f t="shared" si="21"/>
        <v>-27005.049957586307</v>
      </c>
      <c r="Q59" s="27">
        <f t="shared" si="21"/>
        <v>-21199.566411363048</v>
      </c>
      <c r="R59" s="27">
        <f t="shared" si="21"/>
        <v>-15602.00720181653</v>
      </c>
      <c r="S59" s="27">
        <f t="shared" si="21"/>
        <v>-10206.613578499857</v>
      </c>
      <c r="T59" s="27">
        <f t="shared" si="21"/>
        <v>-5007.7698424801156</v>
      </c>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U61">
        <v>1</v>
      </c>
      <c r="V61">
        <v>2</v>
      </c>
      <c r="W61">
        <v>3</v>
      </c>
      <c r="X61">
        <v>4</v>
      </c>
      <c r="Y61">
        <v>5</v>
      </c>
      <c r="Z61">
        <v>6</v>
      </c>
      <c r="AA61">
        <v>7</v>
      </c>
      <c r="AB61">
        <v>8</v>
      </c>
      <c r="AC61">
        <v>9</v>
      </c>
      <c r="AD61">
        <v>10</v>
      </c>
      <c r="AE61">
        <v>11</v>
      </c>
      <c r="AF61">
        <v>12</v>
      </c>
      <c r="AG61">
        <v>13</v>
      </c>
      <c r="AH61">
        <v>14</v>
      </c>
      <c r="AI61">
        <v>15</v>
      </c>
      <c r="AJ61">
        <v>16</v>
      </c>
      <c r="AK61">
        <v>17</v>
      </c>
      <c r="AL61">
        <v>18</v>
      </c>
      <c r="AM61">
        <v>19</v>
      </c>
      <c r="AN61">
        <v>20</v>
      </c>
      <c r="AO61">
        <v>21</v>
      </c>
      <c r="AP61">
        <v>22</v>
      </c>
      <c r="AQ61">
        <v>23</v>
      </c>
      <c r="AR61">
        <v>24</v>
      </c>
      <c r="AS61">
        <v>25</v>
      </c>
      <c r="AT61">
        <v>26</v>
      </c>
      <c r="AU61">
        <v>27</v>
      </c>
      <c r="AV61">
        <v>28</v>
      </c>
      <c r="AW61">
        <v>29</v>
      </c>
      <c r="AX61">
        <v>30</v>
      </c>
      <c r="AY61">
        <v>31</v>
      </c>
      <c r="AZ61">
        <v>32</v>
      </c>
      <c r="BA61">
        <v>33</v>
      </c>
      <c r="BB61">
        <v>34</v>
      </c>
      <c r="BC61">
        <v>35</v>
      </c>
      <c r="BD61">
        <v>36</v>
      </c>
      <c r="BE61">
        <v>37</v>
      </c>
      <c r="BF61">
        <v>38</v>
      </c>
      <c r="BG61">
        <v>39</v>
      </c>
      <c r="BH61">
        <v>40</v>
      </c>
      <c r="BI61" s="23"/>
      <c r="BJ61" s="24"/>
      <c r="BK61" s="23"/>
      <c r="BL61" s="24"/>
      <c r="BM61" s="23"/>
      <c r="BN61" s="24"/>
      <c r="BO61" s="23"/>
      <c r="BP61" s="24"/>
      <c r="BQ61" s="23"/>
      <c r="BR61" s="24"/>
      <c r="BS61" s="23"/>
      <c r="BT61" s="24"/>
      <c r="BU61" s="23"/>
      <c r="BV61" s="24"/>
      <c r="BW61" s="23"/>
    </row>
    <row r="62" spans="1:75">
      <c r="A62" s="41"/>
      <c r="B62" s="26" t="s">
        <v>28</v>
      </c>
      <c r="C62" s="27"/>
      <c r="D62" s="27">
        <f t="shared" si="3"/>
        <v>-50765444.111987345</v>
      </c>
      <c r="E62" s="34"/>
      <c r="F62" s="34"/>
      <c r="G62" s="34"/>
      <c r="H62" s="34"/>
      <c r="I62" s="34"/>
      <c r="J62" s="34"/>
      <c r="K62" s="34"/>
      <c r="L62" s="34"/>
      <c r="M62" s="34"/>
      <c r="N62" s="34"/>
      <c r="O62" s="34"/>
      <c r="P62" s="34"/>
      <c r="Q62" s="34"/>
      <c r="R62" s="34"/>
      <c r="S62" s="34"/>
      <c r="T62" s="34"/>
      <c r="U62" s="34">
        <f t="shared" ref="U62:BH62" si="22">PMT($D$18,$D$22-$T$32,$E$65)</f>
        <v>-1269136.1027996836</v>
      </c>
      <c r="V62" s="34">
        <f t="shared" si="22"/>
        <v>-1269136.1027996836</v>
      </c>
      <c r="W62" s="34">
        <f t="shared" si="22"/>
        <v>-1269136.1027996836</v>
      </c>
      <c r="X62" s="34">
        <f t="shared" si="22"/>
        <v>-1269136.1027996836</v>
      </c>
      <c r="Y62" s="34">
        <f t="shared" si="22"/>
        <v>-1269136.1027996836</v>
      </c>
      <c r="Z62" s="34">
        <f t="shared" si="22"/>
        <v>-1269136.1027996836</v>
      </c>
      <c r="AA62" s="34">
        <f t="shared" si="22"/>
        <v>-1269136.1027996836</v>
      </c>
      <c r="AB62" s="34">
        <f t="shared" si="22"/>
        <v>-1269136.1027996836</v>
      </c>
      <c r="AC62" s="34">
        <f t="shared" si="22"/>
        <v>-1269136.1027996836</v>
      </c>
      <c r="AD62" s="34">
        <f t="shared" si="22"/>
        <v>-1269136.1027996836</v>
      </c>
      <c r="AE62" s="34">
        <f t="shared" si="22"/>
        <v>-1269136.1027996836</v>
      </c>
      <c r="AF62" s="34">
        <f t="shared" si="22"/>
        <v>-1269136.1027996836</v>
      </c>
      <c r="AG62" s="34">
        <f t="shared" si="22"/>
        <v>-1269136.1027996836</v>
      </c>
      <c r="AH62" s="34">
        <f t="shared" si="22"/>
        <v>-1269136.1027996836</v>
      </c>
      <c r="AI62" s="34">
        <f t="shared" si="22"/>
        <v>-1269136.1027996836</v>
      </c>
      <c r="AJ62" s="34">
        <f t="shared" si="22"/>
        <v>-1269136.1027996836</v>
      </c>
      <c r="AK62" s="34">
        <f t="shared" si="22"/>
        <v>-1269136.1027996836</v>
      </c>
      <c r="AL62" s="34">
        <f t="shared" si="22"/>
        <v>-1269136.1027996836</v>
      </c>
      <c r="AM62" s="34">
        <f t="shared" si="22"/>
        <v>-1269136.1027996836</v>
      </c>
      <c r="AN62" s="34">
        <f t="shared" si="22"/>
        <v>-1269136.1027996836</v>
      </c>
      <c r="AO62" s="34">
        <f t="shared" si="22"/>
        <v>-1269136.1027996836</v>
      </c>
      <c r="AP62" s="34">
        <f t="shared" si="22"/>
        <v>-1269136.1027996836</v>
      </c>
      <c r="AQ62" s="34">
        <f t="shared" si="22"/>
        <v>-1269136.1027996836</v>
      </c>
      <c r="AR62" s="34">
        <f t="shared" si="22"/>
        <v>-1269136.1027996836</v>
      </c>
      <c r="AS62" s="34">
        <f t="shared" si="22"/>
        <v>-1269136.1027996836</v>
      </c>
      <c r="AT62" s="34">
        <f t="shared" si="22"/>
        <v>-1269136.1027996836</v>
      </c>
      <c r="AU62" s="34">
        <f t="shared" si="22"/>
        <v>-1269136.1027996836</v>
      </c>
      <c r="AV62" s="34">
        <f t="shared" si="22"/>
        <v>-1269136.1027996836</v>
      </c>
      <c r="AW62" s="34">
        <f t="shared" si="22"/>
        <v>-1269136.1027996836</v>
      </c>
      <c r="AX62" s="34">
        <f t="shared" si="22"/>
        <v>-1269136.1027996836</v>
      </c>
      <c r="AY62" s="34">
        <f t="shared" si="22"/>
        <v>-1269136.1027996836</v>
      </c>
      <c r="AZ62" s="34">
        <f t="shared" si="22"/>
        <v>-1269136.1027996836</v>
      </c>
      <c r="BA62" s="34">
        <f t="shared" si="22"/>
        <v>-1269136.1027996836</v>
      </c>
      <c r="BB62" s="34">
        <f t="shared" si="22"/>
        <v>-1269136.1027996836</v>
      </c>
      <c r="BC62" s="34">
        <f t="shared" si="22"/>
        <v>-1269136.1027996836</v>
      </c>
      <c r="BD62" s="34">
        <f t="shared" si="22"/>
        <v>-1269136.1027996836</v>
      </c>
      <c r="BE62" s="34">
        <f t="shared" si="22"/>
        <v>-1269136.1027996836</v>
      </c>
      <c r="BF62" s="34">
        <f t="shared" si="22"/>
        <v>-1269136.1027996836</v>
      </c>
      <c r="BG62" s="34">
        <f t="shared" si="22"/>
        <v>-1269136.1027996836</v>
      </c>
      <c r="BH62" s="34">
        <f t="shared" si="22"/>
        <v>-1269136.1027996836</v>
      </c>
    </row>
    <row r="63" spans="1:75">
      <c r="A63" s="41"/>
      <c r="B63" s="27"/>
      <c r="C63" s="27" t="s">
        <v>29</v>
      </c>
      <c r="D63" s="27">
        <f t="shared" si="3"/>
        <v>-37967279.194384716</v>
      </c>
      <c r="E63" s="34"/>
      <c r="F63" s="34"/>
      <c r="G63" s="34"/>
      <c r="H63" s="34"/>
      <c r="I63" s="34"/>
      <c r="J63" s="34"/>
      <c r="K63" s="34"/>
      <c r="L63" s="34"/>
      <c r="M63" s="34"/>
      <c r="N63" s="34"/>
      <c r="O63" s="34"/>
      <c r="P63" s="34"/>
      <c r="Q63" s="34"/>
      <c r="R63" s="34"/>
      <c r="S63" s="34"/>
      <c r="T63" s="34"/>
      <c r="U63" s="34">
        <f t="shared" ref="U63:BH63" si="23">PPMT($D$18, U61, $D$23,$E$65)</f>
        <v>-699626.91488391301</v>
      </c>
      <c r="V63" s="34">
        <f t="shared" si="23"/>
        <v>-710121.31860717153</v>
      </c>
      <c r="W63" s="34">
        <f t="shared" si="23"/>
        <v>-720773.13838627911</v>
      </c>
      <c r="X63" s="34">
        <f t="shared" si="23"/>
        <v>-731584.73546207324</v>
      </c>
      <c r="Y63" s="34">
        <f t="shared" si="23"/>
        <v>-742558.50649400451</v>
      </c>
      <c r="Z63" s="34">
        <f t="shared" si="23"/>
        <v>-753696.88409141451</v>
      </c>
      <c r="AA63" s="34">
        <f t="shared" si="23"/>
        <v>-765002.33735278563</v>
      </c>
      <c r="AB63" s="34">
        <f t="shared" si="23"/>
        <v>-776477.37241307751</v>
      </c>
      <c r="AC63" s="34">
        <f t="shared" si="23"/>
        <v>-788124.53299927362</v>
      </c>
      <c r="AD63" s="34">
        <f t="shared" si="23"/>
        <v>-799946.40099426277</v>
      </c>
      <c r="AE63" s="34">
        <f t="shared" si="23"/>
        <v>-811945.59700917662</v>
      </c>
      <c r="AF63" s="34">
        <f t="shared" si="23"/>
        <v>-824124.78096431447</v>
      </c>
      <c r="AG63" s="34">
        <f t="shared" si="23"/>
        <v>-836486.65267877909</v>
      </c>
      <c r="AH63" s="34">
        <f t="shared" si="23"/>
        <v>-849033.95246896078</v>
      </c>
      <c r="AI63" s="34">
        <f t="shared" si="23"/>
        <v>-861769.46175599529</v>
      </c>
      <c r="AJ63" s="34">
        <f t="shared" si="23"/>
        <v>-874696.00368233502</v>
      </c>
      <c r="AK63" s="34">
        <f t="shared" si="23"/>
        <v>-887816.44373757008</v>
      </c>
      <c r="AL63" s="34">
        <f t="shared" si="23"/>
        <v>-901133.69039363379</v>
      </c>
      <c r="AM63" s="34">
        <f t="shared" si="23"/>
        <v>-914650.69574953825</v>
      </c>
      <c r="AN63" s="34">
        <f t="shared" si="23"/>
        <v>-928370.45618578128</v>
      </c>
      <c r="AO63" s="34">
        <f t="shared" si="23"/>
        <v>-942296.01302856812</v>
      </c>
      <c r="AP63" s="34">
        <f t="shared" si="23"/>
        <v>-956430.45322399656</v>
      </c>
      <c r="AQ63" s="34">
        <f t="shared" si="23"/>
        <v>-970776.91002235643</v>
      </c>
      <c r="AR63" s="34">
        <f t="shared" si="23"/>
        <v>-985338.56367269182</v>
      </c>
      <c r="AS63" s="34">
        <f t="shared" si="23"/>
        <v>-1000118.6421277822</v>
      </c>
      <c r="AT63" s="34">
        <f t="shared" si="23"/>
        <v>-1015120.4217596988</v>
      </c>
      <c r="AU63" s="34">
        <f t="shared" si="23"/>
        <v>-1030347.2280860945</v>
      </c>
      <c r="AV63" s="34">
        <f t="shared" si="23"/>
        <v>-1045802.4365073859</v>
      </c>
      <c r="AW63" s="34">
        <f t="shared" si="23"/>
        <v>-1061489.4730549965</v>
      </c>
      <c r="AX63" s="34">
        <f t="shared" si="23"/>
        <v>-1077411.8151508216</v>
      </c>
      <c r="AY63" s="34">
        <f t="shared" si="23"/>
        <v>-1093572.9923780838</v>
      </c>
      <c r="AZ63" s="34">
        <f t="shared" si="23"/>
        <v>-1109976.587263755</v>
      </c>
      <c r="BA63" s="34">
        <f t="shared" si="23"/>
        <v>-1126626.2360727116</v>
      </c>
      <c r="BB63" s="34">
        <f t="shared" si="23"/>
        <v>-1143525.6296138021</v>
      </c>
      <c r="BC63" s="34">
        <f t="shared" si="23"/>
        <v>-1160678.514058009</v>
      </c>
      <c r="BD63" s="34">
        <f t="shared" si="23"/>
        <v>-1178088.6917688793</v>
      </c>
      <c r="BE63" s="34">
        <f t="shared" si="23"/>
        <v>-1195760.0221454126</v>
      </c>
      <c r="BF63" s="34">
        <f t="shared" si="23"/>
        <v>-1213696.4224775939</v>
      </c>
      <c r="BG63" s="34">
        <f t="shared" si="23"/>
        <v>-1231901.8688147576</v>
      </c>
      <c r="BH63" s="34">
        <f t="shared" si="23"/>
        <v>-1250380.3968469789</v>
      </c>
    </row>
    <row r="64" spans="1:75">
      <c r="A64" s="41"/>
      <c r="B64" s="27"/>
      <c r="C64" s="27" t="s">
        <v>30</v>
      </c>
      <c r="D64" s="27">
        <f t="shared" si="3"/>
        <v>-12798164.91760263</v>
      </c>
      <c r="E64" s="27"/>
      <c r="F64" s="27"/>
      <c r="G64" s="27"/>
      <c r="H64" s="27"/>
      <c r="I64" s="27"/>
      <c r="J64" s="27"/>
      <c r="K64" s="27"/>
      <c r="L64" s="27"/>
      <c r="M64" s="27"/>
      <c r="N64" s="27"/>
      <c r="O64" s="27"/>
      <c r="P64" s="27"/>
      <c r="Q64" s="27"/>
      <c r="R64" s="27"/>
      <c r="S64" s="27"/>
      <c r="T64" s="27"/>
      <c r="U64" s="34">
        <f t="shared" ref="U64:BH64" si="24">IPMT($D$18, U61, $D$23,$E$65)</f>
        <v>-569509.18791577057</v>
      </c>
      <c r="V64" s="34">
        <f t="shared" si="24"/>
        <v>-559014.78419251204</v>
      </c>
      <c r="W64" s="34">
        <f t="shared" si="24"/>
        <v>-548362.96441340446</v>
      </c>
      <c r="X64" s="34">
        <f t="shared" si="24"/>
        <v>-537551.36733761022</v>
      </c>
      <c r="Y64" s="34">
        <f t="shared" si="24"/>
        <v>-526577.59630567906</v>
      </c>
      <c r="Z64" s="34">
        <f t="shared" si="24"/>
        <v>-515439.21870826907</v>
      </c>
      <c r="AA64" s="34">
        <f t="shared" si="24"/>
        <v>-504133.765446898</v>
      </c>
      <c r="AB64" s="34">
        <f t="shared" si="24"/>
        <v>-492658.73038660607</v>
      </c>
      <c r="AC64" s="34">
        <f t="shared" si="24"/>
        <v>-481011.56980040995</v>
      </c>
      <c r="AD64" s="34">
        <f t="shared" si="24"/>
        <v>-469189.70180542086</v>
      </c>
      <c r="AE64" s="34">
        <f t="shared" si="24"/>
        <v>-457190.5057905069</v>
      </c>
      <c r="AF64" s="34">
        <f t="shared" si="24"/>
        <v>-445011.32183536916</v>
      </c>
      <c r="AG64" s="34">
        <f t="shared" si="24"/>
        <v>-432649.45012090448</v>
      </c>
      <c r="AH64" s="34">
        <f t="shared" si="24"/>
        <v>-420102.15033072286</v>
      </c>
      <c r="AI64" s="34">
        <f t="shared" si="24"/>
        <v>-407366.6410436884</v>
      </c>
      <c r="AJ64" s="34">
        <f t="shared" si="24"/>
        <v>-394440.09911734849</v>
      </c>
      <c r="AK64" s="34">
        <f t="shared" si="24"/>
        <v>-381319.6590621135</v>
      </c>
      <c r="AL64" s="34">
        <f t="shared" si="24"/>
        <v>-368002.41240604996</v>
      </c>
      <c r="AM64" s="34">
        <f t="shared" si="24"/>
        <v>-354485.40705014544</v>
      </c>
      <c r="AN64" s="34">
        <f t="shared" si="24"/>
        <v>-340765.6466139023</v>
      </c>
      <c r="AO64" s="34">
        <f t="shared" si="24"/>
        <v>-326840.08977111563</v>
      </c>
      <c r="AP64" s="34">
        <f t="shared" si="24"/>
        <v>-312705.64957568713</v>
      </c>
      <c r="AQ64" s="34">
        <f t="shared" si="24"/>
        <v>-298359.1927773272</v>
      </c>
      <c r="AR64" s="34">
        <f t="shared" si="24"/>
        <v>-283797.53912699182</v>
      </c>
      <c r="AS64" s="34">
        <f t="shared" si="24"/>
        <v>-269017.46067190141</v>
      </c>
      <c r="AT64" s="34">
        <f t="shared" si="24"/>
        <v>-254015.68103998469</v>
      </c>
      <c r="AU64" s="34">
        <f t="shared" si="24"/>
        <v>-238788.87471358926</v>
      </c>
      <c r="AV64" s="34">
        <f t="shared" si="24"/>
        <v>-223333.66629229774</v>
      </c>
      <c r="AW64" s="34">
        <f t="shared" si="24"/>
        <v>-207646.62974468703</v>
      </c>
      <c r="AX64" s="34">
        <f t="shared" si="24"/>
        <v>-191724.28764886205</v>
      </c>
      <c r="AY64" s="34">
        <f t="shared" si="24"/>
        <v>-175563.11042159973</v>
      </c>
      <c r="AZ64" s="34">
        <f t="shared" si="24"/>
        <v>-159159.51553592851</v>
      </c>
      <c r="BA64" s="34">
        <f t="shared" si="24"/>
        <v>-142509.86672697216</v>
      </c>
      <c r="BB64" s="34">
        <f t="shared" si="24"/>
        <v>-125610.47318588149</v>
      </c>
      <c r="BC64" s="34">
        <f t="shared" si="24"/>
        <v>-108457.58874167445</v>
      </c>
      <c r="BD64" s="34">
        <f t="shared" si="24"/>
        <v>-91047.411030804302</v>
      </c>
      <c r="BE64" s="34">
        <f t="shared" si="24"/>
        <v>-73376.080654271136</v>
      </c>
      <c r="BF64" s="34">
        <f t="shared" si="24"/>
        <v>-55439.680322089953</v>
      </c>
      <c r="BG64" s="34">
        <f t="shared" si="24"/>
        <v>-37234.233984926046</v>
      </c>
      <c r="BH64" s="34">
        <f t="shared" si="24"/>
        <v>-18755.705952704684</v>
      </c>
    </row>
    <row r="65" spans="1:60">
      <c r="A65" s="41"/>
      <c r="B65" s="33" t="s">
        <v>31</v>
      </c>
      <c r="C65" s="42"/>
      <c r="D65" s="27"/>
      <c r="E65" s="27">
        <f>D24-D24/3</f>
        <v>37967279.194384709</v>
      </c>
      <c r="F65" s="27"/>
      <c r="G65" s="27"/>
      <c r="H65" s="27"/>
      <c r="I65" s="27"/>
      <c r="J65" s="27"/>
      <c r="K65" s="27"/>
      <c r="L65" s="27"/>
      <c r="M65" s="27"/>
      <c r="N65" s="27"/>
      <c r="O65" s="27"/>
      <c r="P65" s="27"/>
      <c r="Q65" s="27"/>
      <c r="R65" s="27"/>
      <c r="S65" s="27"/>
      <c r="T65" s="27"/>
      <c r="U65" s="27">
        <f>E65+U63</f>
        <v>37267652.279500797</v>
      </c>
      <c r="V65" s="27">
        <f>U65+V63</f>
        <v>36557530.960893624</v>
      </c>
      <c r="W65" s="27">
        <f t="shared" ref="W65:BH65" si="25">V65+W63</f>
        <v>35836757.822507344</v>
      </c>
      <c r="X65" s="27">
        <f t="shared" si="25"/>
        <v>35105173.087045267</v>
      </c>
      <c r="Y65" s="27">
        <f t="shared" si="25"/>
        <v>34362614.580551259</v>
      </c>
      <c r="Z65" s="27">
        <f t="shared" si="25"/>
        <v>33608917.696459845</v>
      </c>
      <c r="AA65" s="27">
        <f t="shared" si="25"/>
        <v>32843915.359107058</v>
      </c>
      <c r="AB65" s="27">
        <f t="shared" si="25"/>
        <v>32067437.986693982</v>
      </c>
      <c r="AC65" s="27">
        <f t="shared" si="25"/>
        <v>31279313.453694709</v>
      </c>
      <c r="AD65" s="27">
        <f t="shared" si="25"/>
        <v>30479367.052700445</v>
      </c>
      <c r="AE65" s="27">
        <f t="shared" si="25"/>
        <v>29667421.455691267</v>
      </c>
      <c r="AF65" s="27">
        <f t="shared" si="25"/>
        <v>28843296.674726952</v>
      </c>
      <c r="AG65" s="27">
        <f t="shared" si="25"/>
        <v>28006810.022048172</v>
      </c>
      <c r="AH65" s="27">
        <f t="shared" si="25"/>
        <v>27157776.06957921</v>
      </c>
      <c r="AI65" s="27">
        <f t="shared" si="25"/>
        <v>26296006.607823215</v>
      </c>
      <c r="AJ65" s="27">
        <f t="shared" si="25"/>
        <v>25421310.604140881</v>
      </c>
      <c r="AK65" s="27">
        <f t="shared" si="25"/>
        <v>24533494.160403311</v>
      </c>
      <c r="AL65" s="27">
        <f t="shared" si="25"/>
        <v>23632360.470009677</v>
      </c>
      <c r="AM65" s="27">
        <f t="shared" si="25"/>
        <v>22717709.774260137</v>
      </c>
      <c r="AN65" s="27">
        <f t="shared" si="25"/>
        <v>21789339.318074357</v>
      </c>
      <c r="AO65" s="27">
        <f t="shared" si="25"/>
        <v>20847043.305045787</v>
      </c>
      <c r="AP65" s="27">
        <f t="shared" si="25"/>
        <v>19890612.851821791</v>
      </c>
      <c r="AQ65" s="27">
        <f t="shared" si="25"/>
        <v>18919835.941799436</v>
      </c>
      <c r="AR65" s="27">
        <f t="shared" si="25"/>
        <v>17934497.378126744</v>
      </c>
      <c r="AS65" s="27">
        <f t="shared" si="25"/>
        <v>16934378.735998962</v>
      </c>
      <c r="AT65" s="27">
        <f t="shared" si="25"/>
        <v>15919258.314239264</v>
      </c>
      <c r="AU65" s="27">
        <f t="shared" si="25"/>
        <v>14888911.086153168</v>
      </c>
      <c r="AV65" s="27">
        <f t="shared" si="25"/>
        <v>13843108.649645783</v>
      </c>
      <c r="AW65" s="27">
        <f t="shared" si="25"/>
        <v>12781619.176590787</v>
      </c>
      <c r="AX65" s="27">
        <f t="shared" si="25"/>
        <v>11704207.361439966</v>
      </c>
      <c r="AY65" s="27">
        <f t="shared" si="25"/>
        <v>10610634.369061882</v>
      </c>
      <c r="AZ65" s="27">
        <f t="shared" si="25"/>
        <v>9500657.7817981262</v>
      </c>
      <c r="BA65" s="27">
        <f t="shared" si="25"/>
        <v>8374031.5457254145</v>
      </c>
      <c r="BB65" s="27">
        <f t="shared" si="25"/>
        <v>7230505.9161116127</v>
      </c>
      <c r="BC65" s="27">
        <f t="shared" si="25"/>
        <v>6069827.4020536039</v>
      </c>
      <c r="BD65" s="27">
        <f t="shared" si="25"/>
        <v>4891738.7102847248</v>
      </c>
      <c r="BE65" s="27">
        <f t="shared" si="25"/>
        <v>3695978.688139312</v>
      </c>
      <c r="BF65" s="27">
        <f t="shared" si="25"/>
        <v>2482282.2656617183</v>
      </c>
      <c r="BG65" s="27">
        <f t="shared" si="25"/>
        <v>1250380.3968469608</v>
      </c>
      <c r="BH65" s="27">
        <f t="shared" si="25"/>
        <v>-1.8160790205001831E-8</v>
      </c>
    </row>
    <row r="66" spans="1:60" ht="21">
      <c r="A66" s="43"/>
      <c r="B66" s="26" t="s">
        <v>32</v>
      </c>
      <c r="C66" s="27"/>
      <c r="D66" s="27">
        <f t="shared" si="3"/>
        <v>-21709989.285765622</v>
      </c>
      <c r="E66" s="27"/>
      <c r="F66" s="27"/>
      <c r="G66" s="27"/>
      <c r="H66" s="27"/>
      <c r="I66" s="27"/>
      <c r="J66" s="27"/>
      <c r="K66" s="27"/>
      <c r="L66" s="27"/>
      <c r="M66" s="27"/>
      <c r="N66" s="27"/>
      <c r="O66" s="27"/>
      <c r="P66" s="27"/>
      <c r="Q66" s="27"/>
      <c r="R66" s="27"/>
      <c r="S66" s="27"/>
      <c r="T66" s="27"/>
      <c r="U66" s="27">
        <f t="shared" ref="U66:BH66" si="26">U62*U29</f>
        <v>-782578.92296036158</v>
      </c>
      <c r="V66" s="27">
        <f t="shared" si="26"/>
        <v>-766971.06185167981</v>
      </c>
      <c r="W66" s="27">
        <f t="shared" si="26"/>
        <v>-751674.48606035148</v>
      </c>
      <c r="X66" s="27">
        <f t="shared" si="26"/>
        <v>-736682.98726941878</v>
      </c>
      <c r="Y66" s="27">
        <f t="shared" si="26"/>
        <v>-721990.48098144634</v>
      </c>
      <c r="Z66" s="27">
        <f t="shared" si="26"/>
        <v>-707591.00404904806</v>
      </c>
      <c r="AA66" s="27">
        <f t="shared" si="26"/>
        <v>-693478.71225466544</v>
      </c>
      <c r="AB66" s="27">
        <f t="shared" si="26"/>
        <v>-679647.87793861469</v>
      </c>
      <c r="AC66" s="27">
        <f t="shared" si="26"/>
        <v>-666092.88767443947</v>
      </c>
      <c r="AD66" s="27">
        <f t="shared" si="26"/>
        <v>-652808.23999063019</v>
      </c>
      <c r="AE66" s="27">
        <f t="shared" si="26"/>
        <v>-639788.54313777643</v>
      </c>
      <c r="AF66" s="27">
        <f t="shared" si="26"/>
        <v>-627028.51290025609</v>
      </c>
      <c r="AG66" s="27">
        <f t="shared" si="26"/>
        <v>-614522.97045156662</v>
      </c>
      <c r="AH66" s="27">
        <f t="shared" si="26"/>
        <v>-602266.8402524296</v>
      </c>
      <c r="AI66" s="27">
        <f t="shared" si="26"/>
        <v>-590255.14799081627</v>
      </c>
      <c r="AJ66" s="27">
        <f t="shared" si="26"/>
        <v>-578483.01856305811</v>
      </c>
      <c r="AK66" s="27">
        <f t="shared" si="26"/>
        <v>-566945.67409522017</v>
      </c>
      <c r="AL66" s="27">
        <f t="shared" si="26"/>
        <v>-555638.43200393999</v>
      </c>
      <c r="AM66" s="27">
        <f t="shared" si="26"/>
        <v>-544556.70309593761</v>
      </c>
      <c r="AN66" s="27">
        <f t="shared" si="26"/>
        <v>-533695.98970543197</v>
      </c>
      <c r="AO66" s="27">
        <f t="shared" si="26"/>
        <v>-523051.88386870374</v>
      </c>
      <c r="AP66" s="27">
        <f t="shared" si="26"/>
        <v>-512620.06553506514</v>
      </c>
      <c r="AQ66" s="27">
        <f t="shared" si="26"/>
        <v>-502396.30081351014</v>
      </c>
      <c r="AR66" s="27">
        <f t="shared" si="26"/>
        <v>-492376.44025433448</v>
      </c>
      <c r="AS66" s="27">
        <f t="shared" si="26"/>
        <v>-482556.41716502601</v>
      </c>
      <c r="AT66" s="27">
        <f t="shared" si="26"/>
        <v>-472932.24595974514</v>
      </c>
      <c r="AU66" s="27">
        <f t="shared" si="26"/>
        <v>-463500.02054172102</v>
      </c>
      <c r="AV66" s="27">
        <f t="shared" si="26"/>
        <v>-454255.91271791153</v>
      </c>
      <c r="AW66" s="27">
        <f t="shared" si="26"/>
        <v>-445196.17064527993</v>
      </c>
      <c r="AX66" s="27">
        <f t="shared" si="26"/>
        <v>-436317.11730806093</v>
      </c>
      <c r="AY66" s="27">
        <f t="shared" si="26"/>
        <v>-427615.149025394</v>
      </c>
      <c r="AZ66" s="27">
        <f t="shared" si="26"/>
        <v>-419086.73398872354</v>
      </c>
      <c r="BA66" s="27">
        <f t="shared" si="26"/>
        <v>-410728.41082836618</v>
      </c>
      <c r="BB66" s="27">
        <f t="shared" si="26"/>
        <v>-402536.7872086697</v>
      </c>
      <c r="BC66" s="27">
        <f t="shared" si="26"/>
        <v>-394508.53845118795</v>
      </c>
      <c r="BD66" s="27">
        <f t="shared" si="26"/>
        <v>-386640.40618531668</v>
      </c>
      <c r="BE66" s="27">
        <f t="shared" si="26"/>
        <v>-378929.19702584075</v>
      </c>
      <c r="BF66" s="27">
        <f t="shared" si="26"/>
        <v>-371371.78127685672</v>
      </c>
      <c r="BG66" s="27">
        <f t="shared" si="26"/>
        <v>-363965.09166154423</v>
      </c>
      <c r="BH66" s="27">
        <f t="shared" si="26"/>
        <v>-356706.12207727181</v>
      </c>
    </row>
    <row r="67" spans="1:60">
      <c r="A67" s="27"/>
      <c r="B67" s="27"/>
      <c r="C67" s="27" t="s">
        <v>29</v>
      </c>
      <c r="D67" s="27">
        <f t="shared" si="3"/>
        <v>-15603601.826631332</v>
      </c>
      <c r="E67" s="27"/>
      <c r="F67" s="27"/>
      <c r="G67" s="27"/>
      <c r="H67" s="27"/>
      <c r="I67" s="27"/>
      <c r="J67" s="27"/>
      <c r="K67" s="27"/>
      <c r="L67" s="27"/>
      <c r="M67" s="27"/>
      <c r="N67" s="27"/>
      <c r="O67" s="27"/>
      <c r="P67" s="27"/>
      <c r="Q67" s="27"/>
      <c r="R67" s="27"/>
      <c r="S67" s="27"/>
      <c r="T67" s="27"/>
      <c r="U67" s="27">
        <f t="shared" ref="U67:BH67" si="27">U63*U29</f>
        <v>-431406.27417038422</v>
      </c>
      <c r="V67" s="27">
        <f t="shared" si="27"/>
        <v>-429144.28214136307</v>
      </c>
      <c r="W67" s="27">
        <f t="shared" si="27"/>
        <v>-426894.15041258727</v>
      </c>
      <c r="X67" s="27">
        <f t="shared" si="27"/>
        <v>-424655.81679695798</v>
      </c>
      <c r="Y67" s="27">
        <f t="shared" si="27"/>
        <v>-422429.21943344182</v>
      </c>
      <c r="Z67" s="27">
        <f t="shared" si="27"/>
        <v>-420214.29678536125</v>
      </c>
      <c r="AA67" s="27">
        <f t="shared" si="27"/>
        <v>-418010.98763869412</v>
      </c>
      <c r="AB67" s="27">
        <f t="shared" si="27"/>
        <v>-415819.23110038188</v>
      </c>
      <c r="AC67" s="27">
        <f t="shared" si="27"/>
        <v>-413638.96659664559</v>
      </c>
      <c r="AD67" s="27">
        <f t="shared" si="27"/>
        <v>-411470.13387131406</v>
      </c>
      <c r="AE67" s="27">
        <f t="shared" si="27"/>
        <v>-409312.67298415612</v>
      </c>
      <c r="AF67" s="27">
        <f t="shared" si="27"/>
        <v>-407166.52430922573</v>
      </c>
      <c r="AG67" s="27">
        <f t="shared" si="27"/>
        <v>-405031.62853321317</v>
      </c>
      <c r="AH67" s="27">
        <f t="shared" si="27"/>
        <v>-402907.92665380635</v>
      </c>
      <c r="AI67" s="27">
        <f t="shared" si="27"/>
        <v>-400795.35997805983</v>
      </c>
      <c r="AJ67" s="27">
        <f t="shared" si="27"/>
        <v>-398693.87012077298</v>
      </c>
      <c r="AK67" s="27">
        <f t="shared" si="27"/>
        <v>-396603.39900287584</v>
      </c>
      <c r="AL67" s="27">
        <f t="shared" si="27"/>
        <v>-394523.88884982513</v>
      </c>
      <c r="AM67" s="27">
        <f t="shared" si="27"/>
        <v>-392455.28219000582</v>
      </c>
      <c r="AN67" s="27">
        <f t="shared" si="27"/>
        <v>-390397.52185314434</v>
      </c>
      <c r="AO67" s="27">
        <f t="shared" si="27"/>
        <v>-388350.55096872785</v>
      </c>
      <c r="AP67" s="27">
        <f t="shared" si="27"/>
        <v>-386314.31296443252</v>
      </c>
      <c r="AQ67" s="27">
        <f t="shared" si="27"/>
        <v>-384288.75156456011</v>
      </c>
      <c r="AR67" s="27">
        <f t="shared" si="27"/>
        <v>-382273.81078848295</v>
      </c>
      <c r="AS67" s="27">
        <f t="shared" si="27"/>
        <v>-380269.43494909594</v>
      </c>
      <c r="AT67" s="27">
        <f t="shared" si="27"/>
        <v>-378275.56865127874</v>
      </c>
      <c r="AU67" s="27">
        <f t="shared" si="27"/>
        <v>-376292.15679036401</v>
      </c>
      <c r="AV67" s="27">
        <f t="shared" si="27"/>
        <v>-374319.14455061447</v>
      </c>
      <c r="AW67" s="27">
        <f t="shared" si="27"/>
        <v>-372356.47740370804</v>
      </c>
      <c r="AX67" s="27">
        <f t="shared" si="27"/>
        <v>-370404.10110723157</v>
      </c>
      <c r="AY67" s="27">
        <f t="shared" si="27"/>
        <v>-368461.96170318016</v>
      </c>
      <c r="AZ67" s="27">
        <f t="shared" si="27"/>
        <v>-366530.00551646785</v>
      </c>
      <c r="BA67" s="27">
        <f t="shared" si="27"/>
        <v>-364608.17915344227</v>
      </c>
      <c r="BB67" s="27">
        <f t="shared" si="27"/>
        <v>-362696.42950041045</v>
      </c>
      <c r="BC67" s="27">
        <f t="shared" si="27"/>
        <v>-360794.70372217032</v>
      </c>
      <c r="BD67" s="27">
        <f t="shared" si="27"/>
        <v>-358902.94926055067</v>
      </c>
      <c r="BE67" s="27">
        <f t="shared" si="27"/>
        <v>-357021.11383295822</v>
      </c>
      <c r="BF67" s="27">
        <f t="shared" si="27"/>
        <v>-355149.1454309331</v>
      </c>
      <c r="BG67" s="27">
        <f t="shared" si="27"/>
        <v>-353286.99231871119</v>
      </c>
      <c r="BH67" s="27">
        <f t="shared" si="27"/>
        <v>-351434.60303179489</v>
      </c>
    </row>
    <row r="68" spans="1:60">
      <c r="A68" s="27"/>
      <c r="B68" s="27"/>
      <c r="C68" s="27" t="s">
        <v>30</v>
      </c>
      <c r="D68" s="27">
        <f t="shared" si="3"/>
        <v>-6106387.4591342891</v>
      </c>
      <c r="E68" s="27"/>
      <c r="F68" s="27"/>
      <c r="G68" s="27"/>
      <c r="H68" s="27"/>
      <c r="I68" s="27"/>
      <c r="J68" s="27"/>
      <c r="K68" s="27"/>
      <c r="L68" s="27"/>
      <c r="M68" s="27"/>
      <c r="N68" s="27"/>
      <c r="O68" s="27"/>
      <c r="P68" s="27"/>
      <c r="Q68" s="27"/>
      <c r="R68" s="27"/>
      <c r="S68" s="27"/>
      <c r="T68" s="27"/>
      <c r="U68" s="27">
        <f t="shared" ref="U68:BH68" si="28">U64*U29</f>
        <v>-351172.64878997736</v>
      </c>
      <c r="V68" s="27">
        <f t="shared" si="28"/>
        <v>-337826.77971031674</v>
      </c>
      <c r="W68" s="27">
        <f t="shared" si="28"/>
        <v>-324780.33564776421</v>
      </c>
      <c r="X68" s="27">
        <f t="shared" si="28"/>
        <v>-312027.1704724608</v>
      </c>
      <c r="Y68" s="27">
        <f t="shared" si="28"/>
        <v>-299561.26154800446</v>
      </c>
      <c r="Z68" s="27">
        <f t="shared" si="28"/>
        <v>-287376.70726368675</v>
      </c>
      <c r="AA68" s="27">
        <f t="shared" si="28"/>
        <v>-275467.72461597138</v>
      </c>
      <c r="AB68" s="27">
        <f t="shared" si="28"/>
        <v>-263828.64683823287</v>
      </c>
      <c r="AC68" s="27">
        <f t="shared" si="28"/>
        <v>-252453.92107779393</v>
      </c>
      <c r="AD68" s="27">
        <f t="shared" si="28"/>
        <v>-241338.10611931619</v>
      </c>
      <c r="AE68" s="27">
        <f t="shared" si="28"/>
        <v>-230475.87015362026</v>
      </c>
      <c r="AF68" s="27">
        <f t="shared" si="28"/>
        <v>-219861.98859103036</v>
      </c>
      <c r="AG68" s="27">
        <f t="shared" si="28"/>
        <v>-209491.34191835352</v>
      </c>
      <c r="AH68" s="27">
        <f t="shared" si="28"/>
        <v>-199358.91359862333</v>
      </c>
      <c r="AI68" s="27">
        <f t="shared" si="28"/>
        <v>-189459.78801275653</v>
      </c>
      <c r="AJ68" s="27">
        <f t="shared" si="28"/>
        <v>-179789.14844228516</v>
      </c>
      <c r="AK68" s="27">
        <f t="shared" si="28"/>
        <v>-170342.27509234432</v>
      </c>
      <c r="AL68" s="27">
        <f t="shared" si="28"/>
        <v>-161114.54315411494</v>
      </c>
      <c r="AM68" s="27">
        <f t="shared" si="28"/>
        <v>-152101.42090593182</v>
      </c>
      <c r="AN68" s="27">
        <f t="shared" si="28"/>
        <v>-143298.46785228763</v>
      </c>
      <c r="AO68" s="27">
        <f t="shared" si="28"/>
        <v>-134701.33289997594</v>
      </c>
      <c r="AP68" s="27">
        <f t="shared" si="28"/>
        <v>-126305.75257063266</v>
      </c>
      <c r="AQ68" s="27">
        <f t="shared" si="28"/>
        <v>-118107.54924895003</v>
      </c>
      <c r="AR68" s="27">
        <f t="shared" si="28"/>
        <v>-110102.62946585154</v>
      </c>
      <c r="AS68" s="27">
        <f t="shared" si="28"/>
        <v>-102286.98221593007</v>
      </c>
      <c r="AT68" s="27">
        <f t="shared" si="28"/>
        <v>-94656.677308466344</v>
      </c>
      <c r="AU68" s="27">
        <f t="shared" si="28"/>
        <v>-87207.863751357043</v>
      </c>
      <c r="AV68" s="27">
        <f t="shared" si="28"/>
        <v>-79936.76816729705</v>
      </c>
      <c r="AW68" s="27">
        <f t="shared" si="28"/>
        <v>-72839.693241571847</v>
      </c>
      <c r="AX68" s="27">
        <f t="shared" si="28"/>
        <v>-65913.016200829341</v>
      </c>
      <c r="AY68" s="27">
        <f t="shared" si="28"/>
        <v>-59153.187322213802</v>
      </c>
      <c r="AZ68" s="27">
        <f t="shared" si="28"/>
        <v>-52556.728472255716</v>
      </c>
      <c r="BA68" s="27">
        <f t="shared" si="28"/>
        <v>-46120.231674923969</v>
      </c>
      <c r="BB68" s="27">
        <f t="shared" si="28"/>
        <v>-39840.35770825926</v>
      </c>
      <c r="BC68" s="27">
        <f t="shared" si="28"/>
        <v>-33713.834729017588</v>
      </c>
      <c r="BD68" s="27">
        <f t="shared" si="28"/>
        <v>-27737.456924766033</v>
      </c>
      <c r="BE68" s="27">
        <f t="shared" si="28"/>
        <v>-21908.083192882616</v>
      </c>
      <c r="BF68" s="27">
        <f t="shared" si="28"/>
        <v>-16222.635845923696</v>
      </c>
      <c r="BG68" s="27">
        <f t="shared" si="28"/>
        <v>-10678.099342833046</v>
      </c>
      <c r="BH68" s="27">
        <f t="shared" si="28"/>
        <v>-5271.5190454769236</v>
      </c>
    </row>
    <row r="69" spans="1:60">
      <c r="G69" s="45"/>
      <c r="J69" s="46"/>
    </row>
    <row r="70" spans="1:60">
      <c r="A70" s="24"/>
      <c r="C70" s="47"/>
      <c r="D70" s="47"/>
      <c r="E70" s="47"/>
      <c r="F70" s="47"/>
      <c r="G70" s="45"/>
    </row>
    <row r="71" spans="1:60">
      <c r="A71" s="24"/>
      <c r="C71" s="47"/>
      <c r="D71" s="47"/>
      <c r="E71" s="47"/>
      <c r="F71" s="47"/>
      <c r="G71" s="45"/>
      <c r="J71" s="48"/>
    </row>
    <row r="72" spans="1:60">
      <c r="A72" s="24"/>
      <c r="C72" s="47"/>
      <c r="D72" s="47"/>
      <c r="E72" s="47"/>
      <c r="F72" s="47"/>
      <c r="G72" s="45"/>
    </row>
    <row r="73" spans="1:60">
      <c r="A73" s="24"/>
      <c r="C73" s="47"/>
      <c r="D73" s="47"/>
      <c r="E73" s="47"/>
      <c r="F73" s="47"/>
      <c r="G73" s="45"/>
      <c r="J73" s="45"/>
    </row>
    <row r="74" spans="1:60">
      <c r="A74" s="24"/>
      <c r="C74" s="47"/>
      <c r="D74" s="47"/>
      <c r="E74" s="47"/>
      <c r="F74" s="47"/>
      <c r="G74" s="45"/>
    </row>
    <row r="75" spans="1:60">
      <c r="A75" s="24"/>
      <c r="C75" s="47"/>
      <c r="D75" s="47"/>
      <c r="E75" s="47"/>
      <c r="F75" s="47"/>
      <c r="G75" s="45"/>
    </row>
    <row r="76" spans="1:60">
      <c r="A76" s="24"/>
      <c r="C76" s="47"/>
      <c r="D76" s="47"/>
      <c r="E76" s="47"/>
      <c r="F76" s="47"/>
      <c r="G76" s="45"/>
    </row>
    <row r="77" spans="1:60">
      <c r="A77" s="24"/>
      <c r="C77" s="47"/>
      <c r="D77" s="47"/>
      <c r="E77" s="47"/>
      <c r="F77" s="47"/>
      <c r="G77" s="45"/>
    </row>
    <row r="78" spans="1:60">
      <c r="A78" s="24"/>
      <c r="C78" s="47"/>
      <c r="D78" s="47"/>
      <c r="E78" s="47"/>
      <c r="F78" s="47"/>
      <c r="G78" s="45"/>
    </row>
    <row r="79" spans="1:60">
      <c r="A79" s="24"/>
      <c r="C79" s="47"/>
      <c r="D79" s="47"/>
      <c r="E79" s="47"/>
      <c r="F79" s="47"/>
      <c r="G79" s="45"/>
    </row>
    <row r="80" spans="1:60">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890C-9487-9D4A-B24D-96147A0AA5B0}">
  <sheetPr>
    <tabColor rgb="FF7030A0"/>
  </sheetPr>
  <dimension ref="A1:CB91"/>
  <sheetViews>
    <sheetView topLeftCell="A4" zoomScale="90" zoomScaleNormal="90" workbookViewId="0">
      <pane xSplit="5" ySplit="27" topLeftCell="F31" activePane="bottomRight" state="frozen"/>
      <selection activeCell="A26" sqref="A26:A28"/>
      <selection pane="topRight" activeCell="A26" sqref="A26:A28"/>
      <selection pane="bottomLeft" activeCell="A26" sqref="A26:A28"/>
      <selection pane="bottomRight" activeCell="D71" sqref="D71"/>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64</v>
      </c>
    </row>
    <row r="5" spans="1:7" ht="21">
      <c r="A5" s="1"/>
    </row>
    <row r="6" spans="1:7" ht="21">
      <c r="A6" s="347" t="s">
        <v>1</v>
      </c>
      <c r="B6" s="348"/>
      <c r="C6" s="348"/>
      <c r="D6" s="349"/>
      <c r="F6" s="321" t="s">
        <v>2</v>
      </c>
      <c r="G6" s="322"/>
    </row>
    <row r="7" spans="1:7">
      <c r="A7" s="257" t="s">
        <v>3</v>
      </c>
      <c r="B7" s="263"/>
      <c r="C7" s="263"/>
      <c r="D7" s="295">
        <f>Data!D7</f>
        <v>2013</v>
      </c>
      <c r="F7" s="6" t="s">
        <v>4</v>
      </c>
      <c r="G7" s="7">
        <f>D13</f>
        <v>1000000000</v>
      </c>
    </row>
    <row r="8" spans="1:7">
      <c r="A8" s="257" t="s">
        <v>5</v>
      </c>
      <c r="B8" s="263"/>
      <c r="C8" s="263"/>
      <c r="D8" s="296">
        <f>Data!F7</f>
        <v>2.5000000000000001E-3</v>
      </c>
      <c r="F8" s="6" t="s">
        <v>6</v>
      </c>
      <c r="G8" s="9">
        <f>D33*-1</f>
        <v>1039217601.0787655</v>
      </c>
    </row>
    <row r="9" spans="1:7">
      <c r="A9" s="257" t="s">
        <v>7</v>
      </c>
      <c r="B9" s="263"/>
      <c r="C9" s="263"/>
      <c r="D9" s="260">
        <f>Data!G7</f>
        <v>5</v>
      </c>
      <c r="F9" s="11" t="s">
        <v>8</v>
      </c>
      <c r="G9" s="12">
        <f>D37*-1</f>
        <v>796545795.73588562</v>
      </c>
    </row>
    <row r="10" spans="1:7">
      <c r="A10" s="257" t="s">
        <v>9</v>
      </c>
      <c r="B10" s="263"/>
      <c r="C10" s="263"/>
      <c r="D10" s="260">
        <f>Data!E7</f>
        <v>20</v>
      </c>
    </row>
    <row r="11" spans="1:7">
      <c r="A11" s="257" t="s">
        <v>10</v>
      </c>
      <c r="B11" s="263"/>
      <c r="C11" s="263"/>
      <c r="D11" s="260">
        <v>2</v>
      </c>
      <c r="F11" s="321" t="s">
        <v>11</v>
      </c>
      <c r="G11" s="322"/>
    </row>
    <row r="12" spans="1:7">
      <c r="A12" s="257" t="s">
        <v>12</v>
      </c>
      <c r="B12" s="263"/>
      <c r="C12" s="263"/>
      <c r="D12" s="260">
        <f>(D10-D9)*2</f>
        <v>30</v>
      </c>
      <c r="F12" s="6" t="s">
        <v>4</v>
      </c>
      <c r="G12" s="7">
        <f>D13</f>
        <v>1000000000</v>
      </c>
    </row>
    <row r="13" spans="1:7">
      <c r="A13" s="257" t="s">
        <v>259</v>
      </c>
      <c r="B13" s="263"/>
      <c r="C13" s="263"/>
      <c r="D13" s="297">
        <f>Data!B7</f>
        <v>1000000000</v>
      </c>
      <c r="F13" s="6" t="s">
        <v>31</v>
      </c>
      <c r="G13" s="9">
        <f>D24</f>
        <v>967859413.29737449</v>
      </c>
    </row>
    <row r="14" spans="1:7">
      <c r="A14" s="298" t="s">
        <v>15</v>
      </c>
      <c r="B14" s="261"/>
      <c r="C14" s="261"/>
      <c r="D14" s="299">
        <v>2.1299999999999999E-2</v>
      </c>
      <c r="F14" s="6" t="s">
        <v>6</v>
      </c>
      <c r="G14" s="9">
        <f>(D44+D53+D62)*-1</f>
        <v>1519720041.8123455</v>
      </c>
    </row>
    <row r="15" spans="1:7">
      <c r="A15" s="263"/>
      <c r="B15" s="263"/>
      <c r="C15" s="263"/>
      <c r="D15" s="263"/>
      <c r="E15" s="16"/>
      <c r="F15" s="11" t="s">
        <v>8</v>
      </c>
      <c r="G15" s="12">
        <f>(D48+D57+D66)*-1</f>
        <v>1047162225.8469102</v>
      </c>
    </row>
    <row r="16" spans="1:7" ht="20.399999999999999">
      <c r="A16" s="350" t="s">
        <v>16</v>
      </c>
      <c r="B16" s="351"/>
      <c r="C16" s="351"/>
      <c r="D16" s="352"/>
      <c r="E16" s="16"/>
      <c r="F16" s="16"/>
    </row>
    <row r="17" spans="1:80">
      <c r="A17" s="257" t="s">
        <v>17</v>
      </c>
      <c r="B17" s="263"/>
      <c r="C17" s="263"/>
      <c r="D17" s="300">
        <f>Data!H7</f>
        <v>2019</v>
      </c>
      <c r="E17" s="16"/>
      <c r="F17" s="323" t="s">
        <v>109</v>
      </c>
      <c r="G17" s="324"/>
      <c r="H17" s="120"/>
    </row>
    <row r="18" spans="1:80">
      <c r="A18" s="257" t="s">
        <v>5</v>
      </c>
      <c r="B18" s="263"/>
      <c r="C18" s="263"/>
      <c r="D18" s="259">
        <f>Data!N7</f>
        <v>0.02</v>
      </c>
      <c r="E18" s="16"/>
      <c r="F18" s="121" t="s">
        <v>44</v>
      </c>
      <c r="G18" s="118" t="s">
        <v>45</v>
      </c>
      <c r="H18" s="58"/>
    </row>
    <row r="19" spans="1:80">
      <c r="A19" s="257" t="s">
        <v>7</v>
      </c>
      <c r="B19" s="263"/>
      <c r="C19" s="263"/>
      <c r="D19" s="260">
        <f>Data!O7</f>
        <v>5</v>
      </c>
      <c r="E19" s="16"/>
      <c r="F19" s="119">
        <f>(1-((D8/D11)/D25))*(1-(((1/((1+D25)^(D11*D9)))-(1/((1+D25)^(D11*D10))))/(D25*(D11*D10-D11*D9))))</f>
        <v>0.42828846920337682</v>
      </c>
      <c r="G19" s="122">
        <f>(1-((D18/D21)/D25))*(1-(((1/((1+D25)^(D21*D19)))-(1/((1+D25)^(D21*D20))))/(D25*(D21*D20-D21*D19))))</f>
        <v>0.35319963292891138</v>
      </c>
    </row>
    <row r="20" spans="1:80">
      <c r="A20" s="257" t="s">
        <v>9</v>
      </c>
      <c r="B20" s="263"/>
      <c r="C20" s="263"/>
      <c r="D20" s="260">
        <f>Data!M7</f>
        <v>35</v>
      </c>
      <c r="E20" s="16"/>
      <c r="F20" s="16"/>
    </row>
    <row r="21" spans="1:80">
      <c r="A21" s="257" t="s">
        <v>10</v>
      </c>
      <c r="B21" s="263"/>
      <c r="C21" s="263"/>
      <c r="D21" s="260">
        <v>2</v>
      </c>
      <c r="E21" s="16"/>
      <c r="F21" s="16"/>
    </row>
    <row r="22" spans="1:80">
      <c r="A22" s="257" t="s">
        <v>12</v>
      </c>
      <c r="B22" s="263"/>
      <c r="C22" s="263"/>
      <c r="D22" s="260">
        <f>(D20-D19)*2</f>
        <v>60</v>
      </c>
      <c r="E22" s="16"/>
      <c r="F22" s="16"/>
    </row>
    <row r="23" spans="1:80">
      <c r="A23" s="257" t="s">
        <v>42</v>
      </c>
      <c r="B23" s="263"/>
      <c r="C23" s="263"/>
      <c r="D23" s="309">
        <f>D22-'ROC - Outstanding Balances'!O35-6</f>
        <v>53</v>
      </c>
      <c r="E23" s="16"/>
      <c r="F23" s="16"/>
    </row>
    <row r="24" spans="1:80">
      <c r="A24" s="257" t="s">
        <v>219</v>
      </c>
      <c r="B24" s="263"/>
      <c r="C24" s="263"/>
      <c r="D24" s="301">
        <f>Data!L7</f>
        <v>967859413.29737449</v>
      </c>
      <c r="E24" s="16"/>
      <c r="F24" s="16"/>
    </row>
    <row r="25" spans="1:80">
      <c r="A25" s="196" t="s">
        <v>187</v>
      </c>
      <c r="B25" s="14"/>
      <c r="C25" s="14"/>
      <c r="D25" s="195">
        <f>(1.05^0.5)-1</f>
        <v>2.4695076595959931E-2</v>
      </c>
      <c r="E25" s="16"/>
      <c r="F25" s="16"/>
    </row>
    <row r="26" spans="1:80" s="19" customFormat="1" ht="46.8">
      <c r="A26" s="302" t="s">
        <v>43</v>
      </c>
      <c r="E26" s="20"/>
      <c r="F26" s="21" t="s">
        <v>19</v>
      </c>
      <c r="L26" s="21" t="s">
        <v>20</v>
      </c>
      <c r="N26" s="51"/>
      <c r="T26" s="51"/>
      <c r="AD26" s="51"/>
      <c r="AI26" s="21" t="s">
        <v>21</v>
      </c>
      <c r="BH26" s="51"/>
      <c r="BM26" s="21" t="s">
        <v>22</v>
      </c>
    </row>
    <row r="27" spans="1:80">
      <c r="A27" s="262" t="s">
        <v>23</v>
      </c>
      <c r="D27" s="2"/>
      <c r="E27" s="23" t="s">
        <v>84</v>
      </c>
      <c r="F27" s="24">
        <v>43465</v>
      </c>
      <c r="G27" s="24">
        <v>43646</v>
      </c>
      <c r="H27" s="24">
        <v>43830</v>
      </c>
      <c r="I27" s="24">
        <v>44012</v>
      </c>
      <c r="J27" s="24">
        <v>44196</v>
      </c>
      <c r="K27" s="24">
        <v>44377</v>
      </c>
      <c r="L27" s="24">
        <v>44561</v>
      </c>
      <c r="M27" s="24">
        <v>44742</v>
      </c>
      <c r="N27" s="24">
        <v>44926</v>
      </c>
      <c r="O27" s="24">
        <v>45107</v>
      </c>
      <c r="P27" s="24">
        <v>45291</v>
      </c>
      <c r="Q27" s="24">
        <v>45473</v>
      </c>
      <c r="R27" s="24">
        <v>45657</v>
      </c>
      <c r="S27" s="24">
        <v>45838</v>
      </c>
      <c r="T27" s="24">
        <v>46022</v>
      </c>
      <c r="U27" s="24">
        <v>46203</v>
      </c>
      <c r="V27" s="24">
        <v>46387</v>
      </c>
      <c r="W27" s="24">
        <v>46568</v>
      </c>
      <c r="X27" s="24">
        <v>46752</v>
      </c>
      <c r="Y27" s="24">
        <v>46934</v>
      </c>
      <c r="Z27" s="24">
        <v>47118</v>
      </c>
      <c r="AA27" s="24">
        <v>47299</v>
      </c>
      <c r="AB27" s="24">
        <v>47483</v>
      </c>
      <c r="AC27" s="24">
        <v>47664</v>
      </c>
      <c r="AD27" s="24">
        <v>47848</v>
      </c>
      <c r="AE27" s="24">
        <v>48029</v>
      </c>
      <c r="AF27" s="24">
        <v>48213</v>
      </c>
      <c r="AG27" s="24">
        <v>48395</v>
      </c>
      <c r="AH27" s="24">
        <v>48579</v>
      </c>
      <c r="AI27" s="24">
        <v>48760</v>
      </c>
      <c r="AJ27" s="24">
        <v>48944</v>
      </c>
      <c r="AK27" s="24">
        <v>49125</v>
      </c>
      <c r="AL27" s="24">
        <v>49309</v>
      </c>
      <c r="AM27" s="24">
        <v>49490</v>
      </c>
      <c r="AN27" s="24">
        <v>49674</v>
      </c>
      <c r="AO27" s="24">
        <v>49856</v>
      </c>
      <c r="AP27" s="24">
        <v>50040</v>
      </c>
      <c r="AQ27" s="24">
        <v>50221</v>
      </c>
      <c r="AR27" s="24">
        <v>50405</v>
      </c>
      <c r="AS27" s="24">
        <v>50586</v>
      </c>
      <c r="AT27" s="24">
        <v>50770</v>
      </c>
      <c r="AU27" s="24">
        <v>50951</v>
      </c>
      <c r="AV27" s="24">
        <v>51135</v>
      </c>
      <c r="AW27" s="24">
        <v>51317</v>
      </c>
      <c r="AX27" s="24">
        <v>51501</v>
      </c>
      <c r="AY27" s="24">
        <v>51682</v>
      </c>
      <c r="AZ27" s="24">
        <v>51866</v>
      </c>
      <c r="BA27" s="24">
        <v>52047</v>
      </c>
      <c r="BB27" s="24">
        <v>52231</v>
      </c>
      <c r="BC27" s="24">
        <v>52412</v>
      </c>
      <c r="BD27" s="24">
        <v>52596</v>
      </c>
      <c r="BE27" s="24">
        <v>52778</v>
      </c>
      <c r="BF27" s="24">
        <v>52962</v>
      </c>
      <c r="BG27" s="24">
        <v>53143</v>
      </c>
      <c r="BH27" s="24">
        <v>53327</v>
      </c>
      <c r="BI27" s="24">
        <v>53508</v>
      </c>
      <c r="BJ27" s="24">
        <v>53692</v>
      </c>
      <c r="BK27" s="24">
        <v>53873</v>
      </c>
      <c r="BL27" s="24">
        <v>54057</v>
      </c>
      <c r="BM27" s="24">
        <v>54239</v>
      </c>
      <c r="BN27" s="24"/>
      <c r="BO27" s="24"/>
      <c r="BP27" s="24"/>
      <c r="BQ27" s="24"/>
      <c r="BR27" s="24"/>
      <c r="BS27" s="24"/>
      <c r="BT27" s="24"/>
      <c r="BU27" s="24"/>
      <c r="BV27" s="24"/>
      <c r="BW27" s="24"/>
      <c r="BX27" s="24"/>
      <c r="BY27" s="24"/>
      <c r="BZ27" s="24"/>
      <c r="CA27" s="24"/>
      <c r="CB27" s="24"/>
    </row>
    <row r="28" spans="1:80">
      <c r="A28" s="262" t="s">
        <v>38</v>
      </c>
      <c r="D28" s="2"/>
      <c r="E28" s="23"/>
      <c r="F28" s="54">
        <f>(D9*2)+1</f>
        <v>11</v>
      </c>
      <c r="G28" s="54">
        <f>F28+1</f>
        <v>12</v>
      </c>
      <c r="H28" s="54">
        <f t="shared" ref="H28:BM28" si="0">G28+1</f>
        <v>13</v>
      </c>
      <c r="I28" s="54">
        <f t="shared" si="0"/>
        <v>14</v>
      </c>
      <c r="J28" s="54">
        <f t="shared" si="0"/>
        <v>15</v>
      </c>
      <c r="K28" s="54">
        <f t="shared" si="0"/>
        <v>16</v>
      </c>
      <c r="L28" s="54">
        <f t="shared" si="0"/>
        <v>17</v>
      </c>
      <c r="M28" s="54">
        <f t="shared" si="0"/>
        <v>18</v>
      </c>
      <c r="N28" s="54">
        <f t="shared" si="0"/>
        <v>19</v>
      </c>
      <c r="O28" s="54">
        <f t="shared" si="0"/>
        <v>20</v>
      </c>
      <c r="P28" s="54">
        <f t="shared" si="0"/>
        <v>21</v>
      </c>
      <c r="Q28" s="54">
        <f t="shared" si="0"/>
        <v>22</v>
      </c>
      <c r="R28" s="54">
        <f t="shared" si="0"/>
        <v>23</v>
      </c>
      <c r="S28" s="54">
        <f t="shared" si="0"/>
        <v>24</v>
      </c>
      <c r="T28" s="54">
        <f t="shared" si="0"/>
        <v>25</v>
      </c>
      <c r="U28" s="54">
        <f t="shared" si="0"/>
        <v>26</v>
      </c>
      <c r="V28" s="54">
        <f t="shared" si="0"/>
        <v>27</v>
      </c>
      <c r="W28" s="54">
        <f t="shared" si="0"/>
        <v>28</v>
      </c>
      <c r="X28" s="54">
        <f t="shared" si="0"/>
        <v>29</v>
      </c>
      <c r="Y28" s="54">
        <f t="shared" si="0"/>
        <v>30</v>
      </c>
      <c r="Z28" s="54">
        <f t="shared" si="0"/>
        <v>31</v>
      </c>
      <c r="AA28" s="54">
        <f t="shared" si="0"/>
        <v>32</v>
      </c>
      <c r="AB28" s="54">
        <f t="shared" si="0"/>
        <v>33</v>
      </c>
      <c r="AC28" s="54">
        <f t="shared" si="0"/>
        <v>34</v>
      </c>
      <c r="AD28" s="54">
        <f t="shared" si="0"/>
        <v>35</v>
      </c>
      <c r="AE28" s="54">
        <f t="shared" si="0"/>
        <v>36</v>
      </c>
      <c r="AF28" s="54">
        <f t="shared" si="0"/>
        <v>37</v>
      </c>
      <c r="AG28" s="54">
        <f t="shared" si="0"/>
        <v>38</v>
      </c>
      <c r="AH28" s="54">
        <f t="shared" si="0"/>
        <v>39</v>
      </c>
      <c r="AI28" s="54">
        <f t="shared" si="0"/>
        <v>40</v>
      </c>
      <c r="AJ28" s="54">
        <f t="shared" si="0"/>
        <v>41</v>
      </c>
      <c r="AK28" s="54">
        <f t="shared" si="0"/>
        <v>42</v>
      </c>
      <c r="AL28" s="54">
        <f t="shared" si="0"/>
        <v>43</v>
      </c>
      <c r="AM28" s="54">
        <f t="shared" si="0"/>
        <v>44</v>
      </c>
      <c r="AN28" s="54">
        <f t="shared" si="0"/>
        <v>45</v>
      </c>
      <c r="AO28" s="54">
        <f t="shared" si="0"/>
        <v>46</v>
      </c>
      <c r="AP28" s="54">
        <f t="shared" si="0"/>
        <v>47</v>
      </c>
      <c r="AQ28" s="54">
        <f t="shared" si="0"/>
        <v>48</v>
      </c>
      <c r="AR28" s="54">
        <f t="shared" si="0"/>
        <v>49</v>
      </c>
      <c r="AS28" s="54">
        <f t="shared" si="0"/>
        <v>50</v>
      </c>
      <c r="AT28" s="54">
        <f t="shared" si="0"/>
        <v>51</v>
      </c>
      <c r="AU28" s="54">
        <f t="shared" si="0"/>
        <v>52</v>
      </c>
      <c r="AV28" s="54">
        <f t="shared" si="0"/>
        <v>53</v>
      </c>
      <c r="AW28" s="54">
        <f t="shared" si="0"/>
        <v>54</v>
      </c>
      <c r="AX28" s="54">
        <f t="shared" si="0"/>
        <v>55</v>
      </c>
      <c r="AY28" s="54">
        <f t="shared" si="0"/>
        <v>56</v>
      </c>
      <c r="AZ28" s="54">
        <f t="shared" si="0"/>
        <v>57</v>
      </c>
      <c r="BA28" s="54">
        <f t="shared" si="0"/>
        <v>58</v>
      </c>
      <c r="BB28" s="54">
        <f t="shared" si="0"/>
        <v>59</v>
      </c>
      <c r="BC28" s="54">
        <f t="shared" si="0"/>
        <v>60</v>
      </c>
      <c r="BD28" s="54">
        <f t="shared" si="0"/>
        <v>61</v>
      </c>
      <c r="BE28" s="54">
        <f t="shared" si="0"/>
        <v>62</v>
      </c>
      <c r="BF28" s="54">
        <f t="shared" si="0"/>
        <v>63</v>
      </c>
      <c r="BG28" s="54">
        <f t="shared" si="0"/>
        <v>64</v>
      </c>
      <c r="BH28" s="54">
        <f t="shared" si="0"/>
        <v>65</v>
      </c>
      <c r="BI28" s="54">
        <f t="shared" si="0"/>
        <v>66</v>
      </c>
      <c r="BJ28" s="54">
        <f t="shared" si="0"/>
        <v>67</v>
      </c>
      <c r="BK28" s="54">
        <f t="shared" si="0"/>
        <v>68</v>
      </c>
      <c r="BL28" s="54">
        <f t="shared" si="0"/>
        <v>69</v>
      </c>
      <c r="BM28" s="54">
        <f t="shared" si="0"/>
        <v>70</v>
      </c>
      <c r="BN28" s="54"/>
      <c r="BO28" s="54"/>
      <c r="BP28" s="54"/>
      <c r="BQ28" s="54"/>
      <c r="BR28" s="54"/>
      <c r="BS28" s="54"/>
      <c r="BT28" s="54"/>
      <c r="BU28" s="54"/>
      <c r="BV28" s="54"/>
      <c r="BW28" s="54"/>
      <c r="BX28" s="54"/>
      <c r="BY28" s="54"/>
      <c r="BZ28" s="54"/>
      <c r="CA28" s="54"/>
      <c r="CB28" s="54"/>
    </row>
    <row r="29" spans="1:80">
      <c r="A29" s="262" t="s">
        <v>26</v>
      </c>
      <c r="E29" s="25"/>
      <c r="F29" s="25">
        <f>1/(1+($D14/$D11))^F28</f>
        <v>0.89000288888806911</v>
      </c>
      <c r="G29" s="25">
        <f t="shared" ref="G29:BM29" si="1">1/(1+($D14/$D11))^G28</f>
        <v>0.88062424072435475</v>
      </c>
      <c r="H29" s="25">
        <f t="shared" si="1"/>
        <v>0.87134442262341538</v>
      </c>
      <c r="I29" s="25">
        <f t="shared" si="1"/>
        <v>0.86216239313651155</v>
      </c>
      <c r="J29" s="25">
        <f t="shared" si="1"/>
        <v>0.85307712178945383</v>
      </c>
      <c r="K29" s="25">
        <f t="shared" si="1"/>
        <v>0.84408758896695568</v>
      </c>
      <c r="L29" s="25">
        <f t="shared" si="1"/>
        <v>0.83519278579820466</v>
      </c>
      <c r="M29" s="25">
        <f t="shared" si="1"/>
        <v>0.82639171404363998</v>
      </c>
      <c r="N29" s="25">
        <f t="shared" si="1"/>
        <v>0.8176833859829219</v>
      </c>
      <c r="O29" s="25">
        <f t="shared" si="1"/>
        <v>0.80906682430408328</v>
      </c>
      <c r="P29" s="25">
        <f t="shared" si="1"/>
        <v>0.80054106199384878</v>
      </c>
      <c r="Q29" s="25">
        <f t="shared" si="1"/>
        <v>0.79210514222910888</v>
      </c>
      <c r="R29" s="25">
        <f t="shared" si="1"/>
        <v>0.78375811826953823</v>
      </c>
      <c r="S29" s="25">
        <f t="shared" si="1"/>
        <v>0.77549905335134628</v>
      </c>
      <c r="T29" s="25">
        <f t="shared" si="1"/>
        <v>0.76732702058214641</v>
      </c>
      <c r="U29" s="25">
        <f t="shared" si="1"/>
        <v>0.75924110283693313</v>
      </c>
      <c r="V29" s="25">
        <f t="shared" si="1"/>
        <v>0.75124039265515563</v>
      </c>
      <c r="W29" s="25">
        <f t="shared" si="1"/>
        <v>0.74332399213887657</v>
      </c>
      <c r="X29" s="25">
        <f t="shared" si="1"/>
        <v>0.73549101285200269</v>
      </c>
      <c r="Y29" s="25">
        <f t="shared" si="1"/>
        <v>0.72774057572057871</v>
      </c>
      <c r="Z29" s="25">
        <f t="shared" si="1"/>
        <v>0.72007181093412997</v>
      </c>
      <c r="AA29" s="25">
        <f t="shared" si="1"/>
        <v>0.71248385784804835</v>
      </c>
      <c r="AB29" s="25">
        <f t="shared" si="1"/>
        <v>0.70497586488700181</v>
      </c>
      <c r="AC29" s="25">
        <f t="shared" si="1"/>
        <v>0.697546989449366</v>
      </c>
      <c r="AD29" s="25">
        <f t="shared" si="1"/>
        <v>0.69019639781266118</v>
      </c>
      <c r="AE29" s="25">
        <f t="shared" si="1"/>
        <v>0.68292326503998524</v>
      </c>
      <c r="AF29" s="25">
        <f t="shared" si="1"/>
        <v>0.67572677488743416</v>
      </c>
      <c r="AG29" s="25">
        <f t="shared" si="1"/>
        <v>0.66860611971249606</v>
      </c>
      <c r="AH29" s="25">
        <f t="shared" si="1"/>
        <v>0.66156050038341263</v>
      </c>
      <c r="AI29" s="25">
        <f t="shared" si="1"/>
        <v>0.6545891261894945</v>
      </c>
      <c r="AJ29" s="25">
        <f t="shared" si="1"/>
        <v>0.64769121475238156</v>
      </c>
      <c r="AK29" s="25">
        <f t="shared" si="1"/>
        <v>0.64086599193823934</v>
      </c>
      <c r="AL29" s="25">
        <f t="shared" si="1"/>
        <v>0.63411269177087937</v>
      </c>
      <c r="AM29" s="25">
        <f t="shared" si="1"/>
        <v>0.62743055634579659</v>
      </c>
      <c r="AN29" s="25">
        <f t="shared" si="1"/>
        <v>0.62081883574511121</v>
      </c>
      <c r="AO29" s="25">
        <f t="shared" si="1"/>
        <v>0.61427678795340757</v>
      </c>
      <c r="AP29" s="25">
        <f t="shared" si="1"/>
        <v>0.6078036787744594</v>
      </c>
      <c r="AQ29" s="25">
        <f t="shared" si="1"/>
        <v>0.60139878174883432</v>
      </c>
      <c r="AR29" s="25">
        <f t="shared" si="1"/>
        <v>0.59506137807236359</v>
      </c>
      <c r="AS29" s="25">
        <f t="shared" si="1"/>
        <v>0.58879075651547386</v>
      </c>
      <c r="AT29" s="25">
        <f t="shared" si="1"/>
        <v>0.58258621334336702</v>
      </c>
      <c r="AU29" s="25">
        <f t="shared" si="1"/>
        <v>0.5764470522370424</v>
      </c>
      <c r="AV29" s="25">
        <f t="shared" si="1"/>
        <v>0.57037258421515102</v>
      </c>
      <c r="AW29" s="25">
        <f t="shared" si="1"/>
        <v>0.56436212755667248</v>
      </c>
      <c r="AX29" s="25">
        <f t="shared" si="1"/>
        <v>0.55841500772440755</v>
      </c>
      <c r="AY29" s="25">
        <f t="shared" si="1"/>
        <v>0.55253055728927669</v>
      </c>
      <c r="AZ29" s="25">
        <f t="shared" si="1"/>
        <v>0.54670811585541645</v>
      </c>
      <c r="BA29" s="25">
        <f t="shared" si="1"/>
        <v>0.54094702998606492</v>
      </c>
      <c r="BB29" s="25">
        <f t="shared" si="1"/>
        <v>0.5352466531302279</v>
      </c>
      <c r="BC29" s="25">
        <f t="shared" si="1"/>
        <v>0.52960634555011921</v>
      </c>
      <c r="BD29" s="25">
        <f t="shared" si="1"/>
        <v>0.52402547424936341</v>
      </c>
      <c r="BE29" s="25">
        <f t="shared" si="1"/>
        <v>0.51850341290195767</v>
      </c>
      <c r="BF29" s="25">
        <f t="shared" si="1"/>
        <v>0.51303954178197941</v>
      </c>
      <c r="BG29" s="25">
        <f t="shared" si="1"/>
        <v>0.50763324769403795</v>
      </c>
      <c r="BH29" s="25">
        <f t="shared" si="1"/>
        <v>0.50228392390445553</v>
      </c>
      <c r="BI29" s="25">
        <f t="shared" si="1"/>
        <v>0.49699097007317627</v>
      </c>
      <c r="BJ29" s="25">
        <f t="shared" si="1"/>
        <v>0.49175379218639109</v>
      </c>
      <c r="BK29" s="25">
        <f t="shared" si="1"/>
        <v>0.48657180248987392</v>
      </c>
      <c r="BL29" s="25">
        <f t="shared" si="1"/>
        <v>0.4814444194230188</v>
      </c>
      <c r="BM29" s="25">
        <f t="shared" si="1"/>
        <v>0.47637106755357334</v>
      </c>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AD32">
        <v>25</v>
      </c>
      <c r="AE32">
        <v>26</v>
      </c>
      <c r="AF32">
        <v>27</v>
      </c>
      <c r="AG32">
        <v>28</v>
      </c>
      <c r="AH32">
        <v>29</v>
      </c>
      <c r="AI32">
        <v>30</v>
      </c>
      <c r="BI32" s="23"/>
      <c r="BJ32" s="24"/>
      <c r="BK32" s="23"/>
      <c r="BL32" s="24"/>
      <c r="BM32" s="23"/>
      <c r="BN32" s="24"/>
      <c r="BO32" s="23"/>
      <c r="BP32" s="24"/>
      <c r="BQ32" s="23"/>
      <c r="BR32" s="24"/>
      <c r="BS32" s="23"/>
      <c r="BT32" s="24"/>
      <c r="BU32" s="23"/>
      <c r="BV32" s="24"/>
      <c r="BW32" s="23"/>
    </row>
    <row r="33" spans="1:75">
      <c r="A33" s="27"/>
      <c r="B33" s="26" t="s">
        <v>28</v>
      </c>
      <c r="C33" s="27"/>
      <c r="D33" s="27">
        <f>SUM(E33:CC33)</f>
        <v>-1039217601.0787655</v>
      </c>
      <c r="E33" s="27"/>
      <c r="F33" s="27">
        <f t="shared" ref="F33:AI33" si="2">PMT($D$8,$D$12,$D$13)</f>
        <v>-34640586.702625521</v>
      </c>
      <c r="G33" s="27">
        <f t="shared" si="2"/>
        <v>-34640586.702625521</v>
      </c>
      <c r="H33" s="27">
        <f t="shared" si="2"/>
        <v>-34640586.702625521</v>
      </c>
      <c r="I33" s="27">
        <f t="shared" si="2"/>
        <v>-34640586.702625521</v>
      </c>
      <c r="J33" s="27">
        <f t="shared" si="2"/>
        <v>-34640586.702625521</v>
      </c>
      <c r="K33" s="27">
        <f t="shared" si="2"/>
        <v>-34640586.702625521</v>
      </c>
      <c r="L33" s="27">
        <f t="shared" si="2"/>
        <v>-34640586.702625521</v>
      </c>
      <c r="M33" s="27">
        <f t="shared" si="2"/>
        <v>-34640586.702625521</v>
      </c>
      <c r="N33" s="27">
        <f t="shared" si="2"/>
        <v>-34640586.702625521</v>
      </c>
      <c r="O33" s="27">
        <f t="shared" si="2"/>
        <v>-34640586.702625521</v>
      </c>
      <c r="P33" s="27">
        <f t="shared" si="2"/>
        <v>-34640586.702625521</v>
      </c>
      <c r="Q33" s="27">
        <f t="shared" si="2"/>
        <v>-34640586.702625521</v>
      </c>
      <c r="R33" s="27">
        <f t="shared" si="2"/>
        <v>-34640586.702625521</v>
      </c>
      <c r="S33" s="27">
        <f t="shared" si="2"/>
        <v>-34640586.702625521</v>
      </c>
      <c r="T33" s="27">
        <f t="shared" si="2"/>
        <v>-34640586.702625521</v>
      </c>
      <c r="U33" s="27">
        <f t="shared" si="2"/>
        <v>-34640586.702625521</v>
      </c>
      <c r="V33" s="27">
        <f t="shared" si="2"/>
        <v>-34640586.702625521</v>
      </c>
      <c r="W33" s="27">
        <f t="shared" si="2"/>
        <v>-34640586.702625521</v>
      </c>
      <c r="X33" s="27">
        <f t="shared" si="2"/>
        <v>-34640586.702625521</v>
      </c>
      <c r="Y33" s="27">
        <f t="shared" si="2"/>
        <v>-34640586.702625521</v>
      </c>
      <c r="Z33" s="27">
        <f t="shared" si="2"/>
        <v>-34640586.702625521</v>
      </c>
      <c r="AA33" s="27">
        <f t="shared" si="2"/>
        <v>-34640586.702625521</v>
      </c>
      <c r="AB33" s="27">
        <f t="shared" si="2"/>
        <v>-34640586.702625521</v>
      </c>
      <c r="AC33" s="27">
        <f t="shared" si="2"/>
        <v>-34640586.702625521</v>
      </c>
      <c r="AD33" s="27">
        <f t="shared" si="2"/>
        <v>-34640586.702625521</v>
      </c>
      <c r="AE33" s="27">
        <f t="shared" si="2"/>
        <v>-34640586.702625521</v>
      </c>
      <c r="AF33" s="27">
        <f t="shared" si="2"/>
        <v>-34640586.702625521</v>
      </c>
      <c r="AG33" s="27">
        <f t="shared" si="2"/>
        <v>-34640586.702625521</v>
      </c>
      <c r="AH33" s="27">
        <f t="shared" si="2"/>
        <v>-34640586.702625521</v>
      </c>
      <c r="AI33" s="27">
        <f t="shared" si="2"/>
        <v>-34640586.702625521</v>
      </c>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3">SUM(E34:CC34)</f>
        <v>-999999999.99999988</v>
      </c>
      <c r="E34" s="27"/>
      <c r="F34" s="27">
        <f t="shared" ref="F34:AI34" si="4">PPMT($D$8,F32,$D$12,$D$13)</f>
        <v>-32140586.702625517</v>
      </c>
      <c r="G34" s="27">
        <f t="shared" si="4"/>
        <v>-32220938.16938208</v>
      </c>
      <c r="H34" s="27">
        <f t="shared" si="4"/>
        <v>-32301490.514805537</v>
      </c>
      <c r="I34" s="27">
        <f t="shared" si="4"/>
        <v>-32382244.241092555</v>
      </c>
      <c r="J34" s="27">
        <f t="shared" si="4"/>
        <v>-32463199.851695281</v>
      </c>
      <c r="K34" s="27">
        <f t="shared" si="4"/>
        <v>-32544357.851324521</v>
      </c>
      <c r="L34" s="27">
        <f t="shared" si="4"/>
        <v>-32625718.74595283</v>
      </c>
      <c r="M34" s="27">
        <f t="shared" si="4"/>
        <v>-32707283.042817712</v>
      </c>
      <c r="N34" s="27">
        <f t="shared" si="4"/>
        <v>-32789051.250424758</v>
      </c>
      <c r="O34" s="27">
        <f t="shared" si="4"/>
        <v>-32871023.87855082</v>
      </c>
      <c r="P34" s="27">
        <f t="shared" si="4"/>
        <v>-32953201.438247196</v>
      </c>
      <c r="Q34" s="27">
        <f t="shared" si="4"/>
        <v>-33035584.441842813</v>
      </c>
      <c r="R34" s="27">
        <f t="shared" si="4"/>
        <v>-33118173.402947422</v>
      </c>
      <c r="S34" s="27">
        <f t="shared" si="4"/>
        <v>-33200968.836454794</v>
      </c>
      <c r="T34" s="27">
        <f t="shared" si="4"/>
        <v>-33283971.258545928</v>
      </c>
      <c r="U34" s="27">
        <f t="shared" si="4"/>
        <v>-33367181.18669229</v>
      </c>
      <c r="V34" s="27">
        <f t="shared" si="4"/>
        <v>-33450599.139659025</v>
      </c>
      <c r="W34" s="27">
        <f t="shared" si="4"/>
        <v>-33534225.637508169</v>
      </c>
      <c r="X34" s="27">
        <f t="shared" si="4"/>
        <v>-33618061.201601937</v>
      </c>
      <c r="Y34" s="27">
        <f t="shared" si="4"/>
        <v>-33702106.35460595</v>
      </c>
      <c r="Z34" s="27">
        <f t="shared" si="4"/>
        <v>-33786361.620492458</v>
      </c>
      <c r="AA34" s="27">
        <f t="shared" si="4"/>
        <v>-33870827.524543688</v>
      </c>
      <c r="AB34" s="27">
        <f t="shared" si="4"/>
        <v>-33955504.593355052</v>
      </c>
      <c r="AC34" s="27">
        <f t="shared" si="4"/>
        <v>-34040393.354838438</v>
      </c>
      <c r="AD34" s="27">
        <f t="shared" si="4"/>
        <v>-34125494.338225536</v>
      </c>
      <c r="AE34" s="27">
        <f t="shared" si="4"/>
        <v>-34210808.074071094</v>
      </c>
      <c r="AF34" s="27">
        <f t="shared" si="4"/>
        <v>-34296335.094256274</v>
      </c>
      <c r="AG34" s="27">
        <f t="shared" si="4"/>
        <v>-34382075.93199192</v>
      </c>
      <c r="AH34" s="27">
        <f t="shared" si="4"/>
        <v>-34468031.121821895</v>
      </c>
      <c r="AI34" s="27">
        <f t="shared" si="4"/>
        <v>-34554201.199626453</v>
      </c>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3"/>
        <v>-39217601.078765579</v>
      </c>
      <c r="E35" s="27"/>
      <c r="F35" s="27">
        <f t="shared" ref="F35:AI35" si="5">IPMT($D$8,F32,$D$12,$D13)</f>
        <v>-2500000</v>
      </c>
      <c r="G35" s="27">
        <f t="shared" si="5"/>
        <v>-2419648.5332434364</v>
      </c>
      <c r="H35" s="27">
        <f t="shared" si="5"/>
        <v>-2339096.187819981</v>
      </c>
      <c r="I35" s="27">
        <f t="shared" si="5"/>
        <v>-2258342.4615329676</v>
      </c>
      <c r="J35" s="27">
        <f t="shared" si="5"/>
        <v>-2177386.8509302358</v>
      </c>
      <c r="K35" s="27">
        <f t="shared" si="5"/>
        <v>-2096228.8513009979</v>
      </c>
      <c r="L35" s="27">
        <f t="shared" si="5"/>
        <v>-2014867.9566726864</v>
      </c>
      <c r="M35" s="27">
        <f t="shared" si="5"/>
        <v>-1933303.6598078045</v>
      </c>
      <c r="N35" s="27">
        <f t="shared" si="5"/>
        <v>-1851535.4522007599</v>
      </c>
      <c r="O35" s="27">
        <f t="shared" si="5"/>
        <v>-1769562.8240746981</v>
      </c>
      <c r="P35" s="27">
        <f t="shared" si="5"/>
        <v>-1687385.2643783211</v>
      </c>
      <c r="Q35" s="27">
        <f t="shared" si="5"/>
        <v>-1605002.2607827033</v>
      </c>
      <c r="R35" s="27">
        <f t="shared" si="5"/>
        <v>-1522413.2996780958</v>
      </c>
      <c r="S35" s="27">
        <f t="shared" si="5"/>
        <v>-1439617.8661707274</v>
      </c>
      <c r="T35" s="27">
        <f t="shared" si="5"/>
        <v>-1356615.4440795905</v>
      </c>
      <c r="U35" s="27">
        <f t="shared" si="5"/>
        <v>-1273405.5159332254</v>
      </c>
      <c r="V35" s="27">
        <f t="shared" si="5"/>
        <v>-1189987.5629664948</v>
      </c>
      <c r="W35" s="27">
        <f t="shared" si="5"/>
        <v>-1106361.0651173473</v>
      </c>
      <c r="X35" s="27">
        <f t="shared" si="5"/>
        <v>-1022525.5010235768</v>
      </c>
      <c r="Y35" s="27">
        <f t="shared" si="5"/>
        <v>-938480.34801957197</v>
      </c>
      <c r="Z35" s="27">
        <f t="shared" si="5"/>
        <v>-854225.08213305718</v>
      </c>
      <c r="AA35" s="27">
        <f t="shared" si="5"/>
        <v>-769759.17808182584</v>
      </c>
      <c r="AB35" s="27">
        <f t="shared" si="5"/>
        <v>-685082.10927046672</v>
      </c>
      <c r="AC35" s="27">
        <f t="shared" si="5"/>
        <v>-600193.34778707905</v>
      </c>
      <c r="AD35" s="27">
        <f t="shared" si="5"/>
        <v>-515092.36439998302</v>
      </c>
      <c r="AE35" s="27">
        <f t="shared" si="5"/>
        <v>-429778.62855441915</v>
      </c>
      <c r="AF35" s="27">
        <f t="shared" si="5"/>
        <v>-344251.60836924135</v>
      </c>
      <c r="AG35" s="27">
        <f t="shared" si="5"/>
        <v>-258510.77063360068</v>
      </c>
      <c r="AH35" s="27">
        <f t="shared" si="5"/>
        <v>-172555.58080362086</v>
      </c>
      <c r="AI35" s="27">
        <f t="shared" si="5"/>
        <v>-86385.502999066128</v>
      </c>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1000000000</v>
      </c>
      <c r="F36" s="34">
        <f>E36+F34</f>
        <v>967859413.29737449</v>
      </c>
      <c r="G36" s="34">
        <f t="shared" ref="G36:AD36" si="6">F$36+G$34</f>
        <v>935638475.12799239</v>
      </c>
      <c r="H36" s="34">
        <f t="shared" si="6"/>
        <v>903336984.61318684</v>
      </c>
      <c r="I36" s="34">
        <f t="shared" si="6"/>
        <v>870954740.37209427</v>
      </c>
      <c r="J36" s="34">
        <f t="shared" si="6"/>
        <v>838491540.52039897</v>
      </c>
      <c r="K36" s="34">
        <f t="shared" si="6"/>
        <v>805947182.66907442</v>
      </c>
      <c r="L36" s="34">
        <f t="shared" si="6"/>
        <v>773321463.92312157</v>
      </c>
      <c r="M36" s="34">
        <f t="shared" si="6"/>
        <v>740614180.88030386</v>
      </c>
      <c r="N36" s="34">
        <f t="shared" si="6"/>
        <v>707825129.62987912</v>
      </c>
      <c r="O36" s="34">
        <f t="shared" si="6"/>
        <v>674954105.75132835</v>
      </c>
      <c r="P36" s="34">
        <f t="shared" si="6"/>
        <v>642000904.31308115</v>
      </c>
      <c r="Q36" s="34">
        <f t="shared" si="6"/>
        <v>608965319.87123835</v>
      </c>
      <c r="R36" s="34">
        <f t="shared" si="6"/>
        <v>575847146.46829093</v>
      </c>
      <c r="S36" s="34">
        <f t="shared" si="6"/>
        <v>542646177.63183618</v>
      </c>
      <c r="T36" s="34">
        <f t="shared" si="6"/>
        <v>509362206.37329024</v>
      </c>
      <c r="U36" s="34">
        <f t="shared" si="6"/>
        <v>475995025.18659794</v>
      </c>
      <c r="V36" s="34">
        <f t="shared" si="6"/>
        <v>442544426.0469389</v>
      </c>
      <c r="W36" s="34">
        <f t="shared" si="6"/>
        <v>409010200.40943074</v>
      </c>
      <c r="X36" s="34">
        <f t="shared" si="6"/>
        <v>375392139.20782882</v>
      </c>
      <c r="Y36" s="34">
        <f t="shared" si="6"/>
        <v>341690032.85322285</v>
      </c>
      <c r="Z36" s="34">
        <f t="shared" si="6"/>
        <v>307903671.23273039</v>
      </c>
      <c r="AA36" s="34">
        <f t="shared" si="6"/>
        <v>274032843.70818669</v>
      </c>
      <c r="AB36" s="34">
        <f t="shared" si="6"/>
        <v>240077339.11483163</v>
      </c>
      <c r="AC36" s="34">
        <f t="shared" si="6"/>
        <v>206036945.7599932</v>
      </c>
      <c r="AD36" s="34">
        <f t="shared" si="6"/>
        <v>171911451.42176765</v>
      </c>
      <c r="AE36" s="34">
        <f t="shared" ref="AE36" si="7">AD$36+AE$34</f>
        <v>137700643.34769654</v>
      </c>
      <c r="AF36" s="34">
        <f t="shared" ref="AF36" si="8">AE$36+AF$34</f>
        <v>103404308.25344026</v>
      </c>
      <c r="AG36" s="34">
        <f t="shared" ref="AG36" si="9">AF$36+AG$34</f>
        <v>69022232.321448341</v>
      </c>
      <c r="AH36" s="34">
        <f t="shared" ref="AH36" si="10">AG$36+AH$34</f>
        <v>34554201.199626446</v>
      </c>
      <c r="AI36" s="34">
        <f t="shared" ref="AI36" si="11">AH$36+AI$34</f>
        <v>0</v>
      </c>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3"/>
        <v>-796545795.73588562</v>
      </c>
      <c r="E37" s="34"/>
      <c r="F37" s="34">
        <f t="shared" ref="F37:AI37" si="12">F33*F29</f>
        <v>-30830222.238114346</v>
      </c>
      <c r="G37" s="34">
        <f t="shared" si="12"/>
        <v>-30505340.363245778</v>
      </c>
      <c r="H37" s="34">
        <f t="shared" si="12"/>
        <v>-30183882.019735593</v>
      </c>
      <c r="I37" s="34">
        <f t="shared" si="12"/>
        <v>-29865811.131188437</v>
      </c>
      <c r="J37" s="34">
        <f t="shared" si="12"/>
        <v>-29551092.001373805</v>
      </c>
      <c r="K37" s="34">
        <f t="shared" si="12"/>
        <v>-29239689.310219962</v>
      </c>
      <c r="L37" s="34">
        <f t="shared" si="12"/>
        <v>-28931568.109850053</v>
      </c>
      <c r="M37" s="34">
        <f t="shared" si="12"/>
        <v>-28626693.820660025</v>
      </c>
      <c r="N37" s="34">
        <f t="shared" si="12"/>
        <v>-28325032.227437817</v>
      </c>
      <c r="O37" s="34">
        <f t="shared" si="12"/>
        <v>-28026549.475523487</v>
      </c>
      <c r="P37" s="34">
        <f t="shared" si="12"/>
        <v>-27731212.067009829</v>
      </c>
      <c r="Q37" s="34">
        <f t="shared" si="12"/>
        <v>-27438986.856982965</v>
      </c>
      <c r="R37" s="34">
        <f t="shared" si="12"/>
        <v>-27149841.049802568</v>
      </c>
      <c r="S37" s="34">
        <f t="shared" si="12"/>
        <v>-26863742.195421323</v>
      </c>
      <c r="T37" s="34">
        <f t="shared" si="12"/>
        <v>-26580658.185743161</v>
      </c>
      <c r="U37" s="34">
        <f t="shared" si="12"/>
        <v>-26300557.251019802</v>
      </c>
      <c r="V37" s="34">
        <f t="shared" si="12"/>
        <v>-26023407.956285357</v>
      </c>
      <c r="W37" s="34">
        <f t="shared" si="12"/>
        <v>-25749179.197828483</v>
      </c>
      <c r="X37" s="34">
        <f t="shared" si="12"/>
        <v>-25477840.199701659</v>
      </c>
      <c r="Y37" s="34">
        <f t="shared" si="12"/>
        <v>-25209360.510267321</v>
      </c>
      <c r="Z37" s="34">
        <f t="shared" si="12"/>
        <v>-24943709.998780299</v>
      </c>
      <c r="AA37" s="34">
        <f t="shared" si="12"/>
        <v>-24680858.852006435</v>
      </c>
      <c r="AB37" s="34">
        <f t="shared" si="12"/>
        <v>-24420777.570876602</v>
      </c>
      <c r="AC37" s="34">
        <f t="shared" si="12"/>
        <v>-24163436.967176173</v>
      </c>
      <c r="AD37" s="34">
        <f t="shared" si="12"/>
        <v>-23908808.160269305</v>
      </c>
      <c r="AE37" s="34">
        <f t="shared" si="12"/>
        <v>-23656862.573857717</v>
      </c>
      <c r="AF37" s="34">
        <f t="shared" si="12"/>
        <v>-23407571.932773679</v>
      </c>
      <c r="AG37" s="34">
        <f t="shared" si="12"/>
        <v>-23160908.259806737</v>
      </c>
      <c r="AH37" s="34">
        <f t="shared" si="12"/>
        <v>-22916843.872563928</v>
      </c>
      <c r="AI37" s="34">
        <f t="shared" si="12"/>
        <v>-22675351.380363062</v>
      </c>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3"/>
        <v>-764970450.97550523</v>
      </c>
      <c r="E38" s="34"/>
      <c r="F38" s="34">
        <f t="shared" ref="F38:AI38" si="13">F34*F29</f>
        <v>-28605215.015894171</v>
      </c>
      <c r="G38" s="34">
        <f t="shared" si="13"/>
        <v>-28374539.210838474</v>
      </c>
      <c r="H38" s="34">
        <f t="shared" si="13"/>
        <v>-28145723.60249896</v>
      </c>
      <c r="I38" s="34">
        <f t="shared" si="13"/>
        <v>-27918753.190031376</v>
      </c>
      <c r="J38" s="34">
        <f t="shared" si="13"/>
        <v>-27693613.093560033</v>
      </c>
      <c r="K38" s="34">
        <f t="shared" si="13"/>
        <v>-27470288.553202331</v>
      </c>
      <c r="L38" s="34">
        <f t="shared" si="13"/>
        <v>-27248764.928101052</v>
      </c>
      <c r="M38" s="34">
        <f t="shared" si="13"/>
        <v>-27029027.695464611</v>
      </c>
      <c r="N38" s="34">
        <f t="shared" si="13"/>
        <v>-26811062.449614875</v>
      </c>
      <c r="O38" s="34">
        <f t="shared" si="13"/>
        <v>-26594854.901042804</v>
      </c>
      <c r="P38" s="34">
        <f t="shared" si="13"/>
        <v>-26380390.875471637</v>
      </c>
      <c r="Q38" s="34">
        <f t="shared" si="13"/>
        <v>-26167656.312927637</v>
      </c>
      <c r="R38" s="34">
        <f t="shared" si="13"/>
        <v>-25956637.266818341</v>
      </c>
      <c r="S38" s="34">
        <f t="shared" si="13"/>
        <v>-25747319.90301824</v>
      </c>
      <c r="T38" s="34">
        <f t="shared" si="13"/>
        <v>-25539690.49896184</v>
      </c>
      <c r="U38" s="34">
        <f t="shared" si="13"/>
        <v>-25333735.44274402</v>
      </c>
      <c r="V38" s="34">
        <f t="shared" si="13"/>
        <v>-25129441.232227657</v>
      </c>
      <c r="W38" s="34">
        <f t="shared" si="13"/>
        <v>-24926794.474158436</v>
      </c>
      <c r="X38" s="34">
        <f t="shared" si="13"/>
        <v>-24725781.883286823</v>
      </c>
      <c r="Y38" s="34">
        <f t="shared" si="13"/>
        <v>-24526390.28149711</v>
      </c>
      <c r="Z38" s="34">
        <f t="shared" si="13"/>
        <v>-24328606.59694339</v>
      </c>
      <c r="AA38" s="34">
        <f t="shared" si="13"/>
        <v>-24132417.863192748</v>
      </c>
      <c r="AB38" s="34">
        <f t="shared" si="13"/>
        <v>-23937811.218375042</v>
      </c>
      <c r="AC38" s="34">
        <f t="shared" si="13"/>
        <v>-23744773.904339757</v>
      </c>
      <c r="AD38" s="34">
        <f t="shared" si="13"/>
        <v>-23553293.265819628</v>
      </c>
      <c r="AE38" s="34">
        <f t="shared" si="13"/>
        <v>-23363356.749600921</v>
      </c>
      <c r="AF38" s="34">
        <f t="shared" si="13"/>
        <v>-23174951.903700516</v>
      </c>
      <c r="AG38" s="34">
        <f t="shared" si="13"/>
        <v>-22988066.37654952</v>
      </c>
      <c r="AH38" s="34">
        <f t="shared" si="13"/>
        <v>-22802687.916183531</v>
      </c>
      <c r="AI38" s="34">
        <f t="shared" si="13"/>
        <v>-22618804.369439464</v>
      </c>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3"/>
        <v>-31575344.760380704</v>
      </c>
      <c r="E39" s="34"/>
      <c r="F39" s="34">
        <f t="shared" ref="F39:AI39" si="14">F35*F29</f>
        <v>-2225007.2222201726</v>
      </c>
      <c r="G39" s="34">
        <f t="shared" si="14"/>
        <v>-2130801.1524072997</v>
      </c>
      <c r="H39" s="34">
        <f t="shared" si="14"/>
        <v>-2038158.4172366334</v>
      </c>
      <c r="I39" s="34">
        <f t="shared" si="14"/>
        <v>-1947057.9411570637</v>
      </c>
      <c r="J39" s="34">
        <f t="shared" si="14"/>
        <v>-1857478.9078137681</v>
      </c>
      <c r="K39" s="34">
        <f t="shared" si="14"/>
        <v>-1769400.7570176304</v>
      </c>
      <c r="L39" s="34">
        <f t="shared" si="14"/>
        <v>-1682803.1817489972</v>
      </c>
      <c r="M39" s="34">
        <f t="shared" si="14"/>
        <v>-1597666.1251954138</v>
      </c>
      <c r="N39" s="34">
        <f t="shared" si="14"/>
        <v>-1513969.7778229378</v>
      </c>
      <c r="O39" s="34">
        <f t="shared" si="14"/>
        <v>-1431694.5744806812</v>
      </c>
      <c r="P39" s="34">
        <f t="shared" si="14"/>
        <v>-1350821.1915381926</v>
      </c>
      <c r="Q39" s="34">
        <f t="shared" si="14"/>
        <v>-1271330.5440553245</v>
      </c>
      <c r="R39" s="34">
        <f t="shared" si="14"/>
        <v>-1193203.782984223</v>
      </c>
      <c r="S39" s="34">
        <f t="shared" si="14"/>
        <v>-1116422.2924030842</v>
      </c>
      <c r="T39" s="34">
        <f t="shared" si="14"/>
        <v>-1040967.6867813176</v>
      </c>
      <c r="U39" s="34">
        <f t="shared" si="14"/>
        <v>-966821.80827577587</v>
      </c>
      <c r="V39" s="34">
        <f t="shared" si="14"/>
        <v>-893966.7240577013</v>
      </c>
      <c r="W39" s="34">
        <f t="shared" si="14"/>
        <v>-822384.72367004619</v>
      </c>
      <c r="X39" s="34">
        <f t="shared" si="14"/>
        <v>-752058.31641483202</v>
      </c>
      <c r="Y39" s="34">
        <f t="shared" si="14"/>
        <v>-682970.22877021239</v>
      </c>
      <c r="Z39" s="34">
        <f t="shared" si="14"/>
        <v>-615103.40183690644</v>
      </c>
      <c r="AA39" s="34">
        <f t="shared" si="14"/>
        <v>-548440.98881368211</v>
      </c>
      <c r="AB39" s="34">
        <f t="shared" si="14"/>
        <v>-482966.35250155878</v>
      </c>
      <c r="AC39" s="34">
        <f t="shared" si="14"/>
        <v>-418663.06283641327</v>
      </c>
      <c r="AD39" s="34">
        <f t="shared" si="14"/>
        <v>-355514.89444967493</v>
      </c>
      <c r="AE39" s="34">
        <f t="shared" si="14"/>
        <v>-293505.82425679098</v>
      </c>
      <c r="AF39" s="34">
        <f t="shared" si="14"/>
        <v>-232620.0290731595</v>
      </c>
      <c r="AG39" s="34">
        <f t="shared" si="14"/>
        <v>-172841.88325721884</v>
      </c>
      <c r="AH39" s="34">
        <f t="shared" si="14"/>
        <v>-114155.95638039381</v>
      </c>
      <c r="AI39" s="34">
        <f t="shared" si="14"/>
        <v>-56547.010923598653</v>
      </c>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3"/>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3"/>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3"/>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BI43" s="23"/>
      <c r="BJ43" s="24"/>
      <c r="BK43" s="23"/>
      <c r="BL43" s="24"/>
      <c r="BM43" s="23"/>
      <c r="BN43" s="24"/>
      <c r="BO43" s="23"/>
      <c r="BP43" s="24"/>
      <c r="BQ43" s="23"/>
      <c r="BR43" s="24"/>
      <c r="BS43" s="23"/>
      <c r="BT43" s="24"/>
      <c r="BU43" s="23"/>
      <c r="BV43" s="24"/>
      <c r="BW43" s="23"/>
    </row>
    <row r="44" spans="1:75">
      <c r="A44" s="41"/>
      <c r="B44" s="26" t="s">
        <v>28</v>
      </c>
      <c r="C44" s="27"/>
      <c r="D44" s="27">
        <f t="shared" si="3"/>
        <v>-34640586.702625521</v>
      </c>
      <c r="E44" s="34"/>
      <c r="F44" s="34">
        <f t="shared" ref="F44" si="15">PMT($D$8,$D$12,$D$13)</f>
        <v>-34640586.702625521</v>
      </c>
      <c r="G44" s="34"/>
      <c r="H44" s="34"/>
      <c r="I44" s="34"/>
      <c r="J44" s="34"/>
      <c r="K44" s="34"/>
      <c r="L44" s="34"/>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3"/>
        <v>-32140586.702625517</v>
      </c>
      <c r="E45" s="34"/>
      <c r="F45" s="34">
        <f>PPMT($D$8,F43, $D$12,$D$13)</f>
        <v>-32140586.702625517</v>
      </c>
      <c r="G45" s="34"/>
      <c r="H45" s="34"/>
      <c r="I45" s="34"/>
      <c r="J45" s="34"/>
      <c r="K45" s="34"/>
      <c r="L45" s="34"/>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3"/>
        <v>-2500000</v>
      </c>
      <c r="E46" s="27"/>
      <c r="F46" s="34">
        <f>IPMT($D$8, F43, $D$12,$D$13)</f>
        <v>-2500000</v>
      </c>
      <c r="G46" s="34"/>
      <c r="H46" s="34"/>
      <c r="I46" s="34"/>
      <c r="J46" s="34"/>
      <c r="K46" s="34"/>
      <c r="L46" s="34"/>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1000000000</v>
      </c>
      <c r="F47" s="27">
        <f t="shared" ref="F47" si="16">E47+F45</f>
        <v>967859413.29737449</v>
      </c>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3"/>
        <v>-30830222.238114346</v>
      </c>
      <c r="E48" s="27"/>
      <c r="F48" s="27">
        <f>F44*F29</f>
        <v>-30830222.238114346</v>
      </c>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3"/>
        <v>-28605215.015894171</v>
      </c>
      <c r="E49" s="27"/>
      <c r="F49" s="27">
        <f t="shared" ref="F49" si="17">F45*F29</f>
        <v>-28605215.015894171</v>
      </c>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3"/>
        <v>-2225007.2222201726</v>
      </c>
      <c r="E50" s="27"/>
      <c r="F50" s="27">
        <f t="shared" ref="F50" si="18">F46*F29</f>
        <v>-2225007.2222201726</v>
      </c>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3"/>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G52">
        <v>1</v>
      </c>
      <c r="H52">
        <v>2</v>
      </c>
      <c r="I52">
        <v>3</v>
      </c>
      <c r="J52">
        <v>4</v>
      </c>
      <c r="K52">
        <v>5</v>
      </c>
      <c r="L52">
        <v>6</v>
      </c>
      <c r="BI52" s="23"/>
      <c r="BJ52" s="24"/>
      <c r="BK52" s="23"/>
      <c r="BL52" s="24"/>
      <c r="BM52" s="23"/>
      <c r="BN52" s="24"/>
      <c r="BO52" s="23"/>
      <c r="BP52" s="24"/>
      <c r="BQ52" s="23"/>
      <c r="BR52" s="24"/>
      <c r="BS52" s="23"/>
      <c r="BT52" s="24"/>
      <c r="BU52" s="23"/>
      <c r="BV52" s="24"/>
      <c r="BW52" s="23"/>
    </row>
    <row r="53" spans="1:75">
      <c r="A53" s="41"/>
      <c r="B53" s="26" t="s">
        <v>28</v>
      </c>
      <c r="C53" s="27"/>
      <c r="D53" s="27">
        <f t="shared" si="3"/>
        <v>-325448601.44971192</v>
      </c>
      <c r="E53" s="34"/>
      <c r="F53" s="34"/>
      <c r="G53" s="34">
        <f t="shared" ref="G53:L53" si="19">PMT($D$8,6,$D$24/3)</f>
        <v>-54241433.574951984</v>
      </c>
      <c r="H53" s="34">
        <f t="shared" si="19"/>
        <v>-54241433.574951984</v>
      </c>
      <c r="I53" s="34">
        <f t="shared" si="19"/>
        <v>-54241433.574951984</v>
      </c>
      <c r="J53" s="34">
        <f t="shared" si="19"/>
        <v>-54241433.574951984</v>
      </c>
      <c r="K53" s="34">
        <f t="shared" si="19"/>
        <v>-54241433.574951984</v>
      </c>
      <c r="L53" s="34">
        <f t="shared" si="19"/>
        <v>-54241433.574951984</v>
      </c>
      <c r="M53" s="34"/>
      <c r="N53" s="34"/>
      <c r="O53" s="34"/>
      <c r="P53" s="34"/>
      <c r="Q53" s="34"/>
      <c r="R53" s="34"/>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3"/>
        <v>-322619804.4324581</v>
      </c>
      <c r="E54" s="34"/>
      <c r="F54" s="34"/>
      <c r="G54" s="34">
        <f>PPMT($D$8,G52,6,$D$24/3)</f>
        <v>-53434884.06387084</v>
      </c>
      <c r="H54" s="34">
        <f t="shared" ref="H54:L54" si="20">PPMT($D$8,H52,6,$D$24/3)</f>
        <v>-53568471.274030514</v>
      </c>
      <c r="I54" s="34">
        <f t="shared" si="20"/>
        <v>-53702392.45221559</v>
      </c>
      <c r="J54" s="34">
        <f t="shared" si="20"/>
        <v>-53836648.43334613</v>
      </c>
      <c r="K54" s="34">
        <f t="shared" si="20"/>
        <v>-53971240.054429494</v>
      </c>
      <c r="L54" s="34">
        <f t="shared" si="20"/>
        <v>-54106168.154565573</v>
      </c>
      <c r="M54" s="34"/>
      <c r="N54" s="34"/>
      <c r="O54" s="34"/>
      <c r="P54" s="34"/>
      <c r="Q54" s="34"/>
      <c r="R54" s="34"/>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3"/>
        <v>-2828797.0172537607</v>
      </c>
      <c r="E55" s="27"/>
      <c r="F55" s="27"/>
      <c r="G55" s="34">
        <f>IPMT($D$8,G52,6,$D$24/3)</f>
        <v>-806549.51108114538</v>
      </c>
      <c r="H55" s="34">
        <f t="shared" ref="H55:L55" si="21">IPMT($D$8,H52,6,$D$24/3)</f>
        <v>-672962.3009214683</v>
      </c>
      <c r="I55" s="34">
        <f t="shared" si="21"/>
        <v>-539041.12273639196</v>
      </c>
      <c r="J55" s="34">
        <f t="shared" si="21"/>
        <v>-404785.14160585299</v>
      </c>
      <c r="K55" s="34">
        <f t="shared" si="21"/>
        <v>-270193.52052248764</v>
      </c>
      <c r="L55" s="34">
        <f t="shared" si="21"/>
        <v>-135265.42038641396</v>
      </c>
      <c r="M55" s="27"/>
      <c r="N55" s="27"/>
      <c r="O55" s="34"/>
      <c r="P55" s="34"/>
      <c r="Q55" s="34"/>
      <c r="R55" s="34"/>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967859413.29737449</v>
      </c>
      <c r="F56" s="27"/>
      <c r="G56" s="27">
        <f>$E$56+G54</f>
        <v>914424529.2335037</v>
      </c>
      <c r="H56" s="27">
        <f>G56+H54</f>
        <v>860856057.95947313</v>
      </c>
      <c r="I56" s="27">
        <f t="shared" ref="I56:L56" si="22">H56+I54</f>
        <v>807153665.50725758</v>
      </c>
      <c r="J56" s="27">
        <f t="shared" si="22"/>
        <v>753317017.07391143</v>
      </c>
      <c r="K56" s="27">
        <f t="shared" si="22"/>
        <v>699345777.0194819</v>
      </c>
      <c r="L56" s="27">
        <f t="shared" si="22"/>
        <v>645239608.86491632</v>
      </c>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3"/>
        <v>-279152916.99391007</v>
      </c>
      <c r="E57" s="27"/>
      <c r="F57" s="27"/>
      <c r="G57" s="27">
        <f>G53*G$29</f>
        <v>-47766321.257742614</v>
      </c>
      <c r="H57" s="27">
        <f>H53*H$29</f>
        <v>-47262970.620632872</v>
      </c>
      <c r="I57" s="27">
        <f t="shared" ref="I57:L57" si="23">I53*I$29</f>
        <v>-46764924.17813573</v>
      </c>
      <c r="J57" s="27">
        <f t="shared" si="23"/>
        <v>-46272126.035853885</v>
      </c>
      <c r="K57" s="27">
        <f t="shared" si="23"/>
        <v>-45784520.888392501</v>
      </c>
      <c r="L57" s="27">
        <f t="shared" si="23"/>
        <v>-45302054.013152421</v>
      </c>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3"/>
        <v>-276705174.3670752</v>
      </c>
      <c r="E58" s="27"/>
      <c r="F58" s="27"/>
      <c r="G58" s="27">
        <f>G54*G$29</f>
        <v>-47056054.206940182</v>
      </c>
      <c r="H58" s="27">
        <f t="shared" ref="H58:L58" si="24">H54*H$29</f>
        <v>-46676588.673089132</v>
      </c>
      <c r="I58" s="27">
        <f t="shared" si="24"/>
        <v>-46300183.193758331</v>
      </c>
      <c r="J58" s="27">
        <f t="shared" si="24"/>
        <v>-45926813.092309624</v>
      </c>
      <c r="K58" s="27">
        <f t="shared" si="24"/>
        <v>-45556453.891100176</v>
      </c>
      <c r="L58" s="27">
        <f t="shared" si="24"/>
        <v>-45189081.309877723</v>
      </c>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3"/>
        <v>-2447742.626834847</v>
      </c>
      <c r="E59" s="27"/>
      <c r="F59" s="27"/>
      <c r="G59" s="27">
        <f>G55*G$29</f>
        <v>-710267.05080243316</v>
      </c>
      <c r="H59" s="27">
        <f t="shared" ref="H59:L59" si="25">H55*H$29</f>
        <v>-586381.9475437419</v>
      </c>
      <c r="I59" s="27">
        <f t="shared" si="25"/>
        <v>-464740.98437739973</v>
      </c>
      <c r="J59" s="27">
        <f t="shared" si="25"/>
        <v>-345312.94354425755</v>
      </c>
      <c r="K59" s="27">
        <f t="shared" si="25"/>
        <v>-228066.99729232024</v>
      </c>
      <c r="L59" s="27">
        <f t="shared" si="25"/>
        <v>-112972.70327469434</v>
      </c>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3"/>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M61">
        <v>1</v>
      </c>
      <c r="N61">
        <v>2</v>
      </c>
      <c r="O61">
        <v>3</v>
      </c>
      <c r="P61">
        <v>4</v>
      </c>
      <c r="Q61">
        <v>5</v>
      </c>
      <c r="R61">
        <v>6</v>
      </c>
      <c r="S61">
        <v>7</v>
      </c>
      <c r="T61">
        <v>8</v>
      </c>
      <c r="U61">
        <v>9</v>
      </c>
      <c r="V61">
        <v>10</v>
      </c>
      <c r="W61">
        <v>11</v>
      </c>
      <c r="X61">
        <v>12</v>
      </c>
      <c r="Y61">
        <v>13</v>
      </c>
      <c r="Z61">
        <v>14</v>
      </c>
      <c r="AA61">
        <v>15</v>
      </c>
      <c r="AB61">
        <v>16</v>
      </c>
      <c r="AC61">
        <v>17</v>
      </c>
      <c r="AD61">
        <v>18</v>
      </c>
      <c r="AE61">
        <v>19</v>
      </c>
      <c r="AF61">
        <v>20</v>
      </c>
      <c r="AG61">
        <v>21</v>
      </c>
      <c r="AH61">
        <v>22</v>
      </c>
      <c r="AI61">
        <v>23</v>
      </c>
      <c r="AJ61">
        <v>24</v>
      </c>
      <c r="AK61">
        <v>25</v>
      </c>
      <c r="AL61">
        <v>26</v>
      </c>
      <c r="AM61">
        <v>27</v>
      </c>
      <c r="AN61">
        <v>28</v>
      </c>
      <c r="AO61">
        <v>29</v>
      </c>
      <c r="AP61">
        <v>30</v>
      </c>
      <c r="AQ61">
        <v>31</v>
      </c>
      <c r="AR61">
        <v>32</v>
      </c>
      <c r="AS61">
        <v>33</v>
      </c>
      <c r="AT61">
        <v>34</v>
      </c>
      <c r="AU61">
        <v>35</v>
      </c>
      <c r="AV61">
        <v>36</v>
      </c>
      <c r="AW61">
        <v>37</v>
      </c>
      <c r="AX61">
        <v>38</v>
      </c>
      <c r="AY61">
        <v>39</v>
      </c>
      <c r="AZ61">
        <v>40</v>
      </c>
      <c r="BA61">
        <v>41</v>
      </c>
      <c r="BB61">
        <v>42</v>
      </c>
      <c r="BC61">
        <v>43</v>
      </c>
      <c r="BD61">
        <v>44</v>
      </c>
      <c r="BE61">
        <v>45</v>
      </c>
      <c r="BF61">
        <v>46</v>
      </c>
      <c r="BG61">
        <v>47</v>
      </c>
      <c r="BH61">
        <v>48</v>
      </c>
      <c r="BI61">
        <v>49</v>
      </c>
      <c r="BJ61">
        <v>50</v>
      </c>
      <c r="BK61">
        <v>51</v>
      </c>
      <c r="BL61">
        <v>52</v>
      </c>
      <c r="BM61">
        <v>53</v>
      </c>
      <c r="BN61" s="24"/>
      <c r="BO61" s="23"/>
    </row>
    <row r="62" spans="1:75">
      <c r="A62" s="41"/>
      <c r="B62" s="26" t="s">
        <v>28</v>
      </c>
      <c r="C62" s="27"/>
      <c r="D62" s="27">
        <f>SUM(E62:BU62)</f>
        <v>-1159630853.6600082</v>
      </c>
      <c r="E62" s="34"/>
      <c r="F62" s="34"/>
      <c r="G62" s="34"/>
      <c r="H62" s="34"/>
      <c r="I62" s="34"/>
      <c r="J62" s="34"/>
      <c r="K62" s="34"/>
      <c r="L62" s="34"/>
      <c r="M62" s="34">
        <f t="shared" ref="M62:BM62" si="26">PMT($D$18,$D$22-$T$32,$E$65)</f>
        <v>-21879827.427547332</v>
      </c>
      <c r="N62" s="34">
        <f t="shared" si="26"/>
        <v>-21879827.427547332</v>
      </c>
      <c r="O62" s="34">
        <f t="shared" si="26"/>
        <v>-21879827.427547332</v>
      </c>
      <c r="P62" s="34">
        <f t="shared" si="26"/>
        <v>-21879827.427547332</v>
      </c>
      <c r="Q62" s="34">
        <f t="shared" si="26"/>
        <v>-21879827.427547332</v>
      </c>
      <c r="R62" s="34">
        <f t="shared" si="26"/>
        <v>-21879827.427547332</v>
      </c>
      <c r="S62" s="34">
        <f t="shared" si="26"/>
        <v>-21879827.427547332</v>
      </c>
      <c r="T62" s="34">
        <f t="shared" si="26"/>
        <v>-21879827.427547332</v>
      </c>
      <c r="U62" s="34">
        <f t="shared" si="26"/>
        <v>-21879827.427547332</v>
      </c>
      <c r="V62" s="34">
        <f t="shared" si="26"/>
        <v>-21879827.427547332</v>
      </c>
      <c r="W62" s="34">
        <f t="shared" si="26"/>
        <v>-21879827.427547332</v>
      </c>
      <c r="X62" s="34">
        <f t="shared" si="26"/>
        <v>-21879827.427547332</v>
      </c>
      <c r="Y62" s="34">
        <f t="shared" si="26"/>
        <v>-21879827.427547332</v>
      </c>
      <c r="Z62" s="34">
        <f t="shared" si="26"/>
        <v>-21879827.427547332</v>
      </c>
      <c r="AA62" s="34">
        <f t="shared" si="26"/>
        <v>-21879827.427547332</v>
      </c>
      <c r="AB62" s="34">
        <f t="shared" si="26"/>
        <v>-21879827.427547332</v>
      </c>
      <c r="AC62" s="34">
        <f t="shared" si="26"/>
        <v>-21879827.427547332</v>
      </c>
      <c r="AD62" s="34">
        <f t="shared" si="26"/>
        <v>-21879827.427547332</v>
      </c>
      <c r="AE62" s="34">
        <f t="shared" si="26"/>
        <v>-21879827.427547332</v>
      </c>
      <c r="AF62" s="34">
        <f t="shared" si="26"/>
        <v>-21879827.427547332</v>
      </c>
      <c r="AG62" s="34">
        <f t="shared" si="26"/>
        <v>-21879827.427547332</v>
      </c>
      <c r="AH62" s="34">
        <f t="shared" si="26"/>
        <v>-21879827.427547332</v>
      </c>
      <c r="AI62" s="34">
        <f t="shared" si="26"/>
        <v>-21879827.427547332</v>
      </c>
      <c r="AJ62" s="34">
        <f t="shared" si="26"/>
        <v>-21879827.427547332</v>
      </c>
      <c r="AK62" s="34">
        <f t="shared" si="26"/>
        <v>-21879827.427547332</v>
      </c>
      <c r="AL62" s="34">
        <f t="shared" si="26"/>
        <v>-21879827.427547332</v>
      </c>
      <c r="AM62" s="34">
        <f t="shared" si="26"/>
        <v>-21879827.427547332</v>
      </c>
      <c r="AN62" s="34">
        <f t="shared" si="26"/>
        <v>-21879827.427547332</v>
      </c>
      <c r="AO62" s="34">
        <f t="shared" si="26"/>
        <v>-21879827.427547332</v>
      </c>
      <c r="AP62" s="34">
        <f t="shared" si="26"/>
        <v>-21879827.427547332</v>
      </c>
      <c r="AQ62" s="34">
        <f t="shared" si="26"/>
        <v>-21879827.427547332</v>
      </c>
      <c r="AR62" s="34">
        <f t="shared" si="26"/>
        <v>-21879827.427547332</v>
      </c>
      <c r="AS62" s="34">
        <f t="shared" si="26"/>
        <v>-21879827.427547332</v>
      </c>
      <c r="AT62" s="34">
        <f t="shared" si="26"/>
        <v>-21879827.427547332</v>
      </c>
      <c r="AU62" s="34">
        <f t="shared" si="26"/>
        <v>-21879827.427547332</v>
      </c>
      <c r="AV62" s="34">
        <f t="shared" si="26"/>
        <v>-21879827.427547332</v>
      </c>
      <c r="AW62" s="34">
        <f t="shared" si="26"/>
        <v>-21879827.427547332</v>
      </c>
      <c r="AX62" s="34">
        <f t="shared" si="26"/>
        <v>-21879827.427547332</v>
      </c>
      <c r="AY62" s="34">
        <f t="shared" si="26"/>
        <v>-21879827.427547332</v>
      </c>
      <c r="AZ62" s="34">
        <f t="shared" si="26"/>
        <v>-21879827.427547332</v>
      </c>
      <c r="BA62" s="34">
        <f t="shared" si="26"/>
        <v>-21879827.427547332</v>
      </c>
      <c r="BB62" s="34">
        <f t="shared" si="26"/>
        <v>-21879827.427547332</v>
      </c>
      <c r="BC62" s="34">
        <f t="shared" si="26"/>
        <v>-21879827.427547332</v>
      </c>
      <c r="BD62" s="34">
        <f t="shared" si="26"/>
        <v>-21879827.427547332</v>
      </c>
      <c r="BE62" s="34">
        <f t="shared" si="26"/>
        <v>-21879827.427547332</v>
      </c>
      <c r="BF62" s="34">
        <f t="shared" si="26"/>
        <v>-21879827.427547332</v>
      </c>
      <c r="BG62" s="34">
        <f t="shared" si="26"/>
        <v>-21879827.427547332</v>
      </c>
      <c r="BH62" s="34">
        <f t="shared" si="26"/>
        <v>-21879827.427547332</v>
      </c>
      <c r="BI62" s="34">
        <f t="shared" si="26"/>
        <v>-21879827.427547332</v>
      </c>
      <c r="BJ62" s="34">
        <f t="shared" si="26"/>
        <v>-21879827.427547332</v>
      </c>
      <c r="BK62" s="34">
        <f t="shared" si="26"/>
        <v>-21879827.427547332</v>
      </c>
      <c r="BL62" s="34">
        <f t="shared" si="26"/>
        <v>-21879827.427547332</v>
      </c>
      <c r="BM62" s="34">
        <f t="shared" si="26"/>
        <v>-21879827.427547332</v>
      </c>
    </row>
    <row r="63" spans="1:75">
      <c r="A63" s="41"/>
      <c r="B63" s="27"/>
      <c r="C63" s="27" t="s">
        <v>29</v>
      </c>
      <c r="D63" s="27">
        <f>SUM(E63:BU63)</f>
        <v>-645239608.86491621</v>
      </c>
      <c r="E63" s="34"/>
      <c r="F63" s="34"/>
      <c r="G63" s="34"/>
      <c r="H63" s="34"/>
      <c r="I63" s="34"/>
      <c r="J63" s="34"/>
      <c r="K63" s="34"/>
      <c r="L63" s="34"/>
      <c r="M63" s="34">
        <f t="shared" ref="M63:BM63" si="27">PPMT($D$18, M61, $D$23,$E$65)</f>
        <v>-6951759.2035367899</v>
      </c>
      <c r="N63" s="34">
        <f t="shared" si="27"/>
        <v>-7090794.387607527</v>
      </c>
      <c r="O63" s="34">
        <f t="shared" si="27"/>
        <v>-7232610.2753596772</v>
      </c>
      <c r="P63" s="34">
        <f t="shared" si="27"/>
        <v>-7377262.4808668699</v>
      </c>
      <c r="Q63" s="34">
        <f t="shared" si="27"/>
        <v>-7524807.7304842081</v>
      </c>
      <c r="R63" s="34">
        <f t="shared" si="27"/>
        <v>-7675303.885093892</v>
      </c>
      <c r="S63" s="34">
        <f t="shared" si="27"/>
        <v>-7828809.9627957707</v>
      </c>
      <c r="T63" s="34">
        <f t="shared" si="27"/>
        <v>-7985386.1620516861</v>
      </c>
      <c r="U63" s="34">
        <f t="shared" si="27"/>
        <v>-8145093.8852927182</v>
      </c>
      <c r="V63" s="34">
        <f t="shared" si="27"/>
        <v>-8307995.7629985744</v>
      </c>
      <c r="W63" s="34">
        <f t="shared" si="27"/>
        <v>-8474155.6782585457</v>
      </c>
      <c r="X63" s="34">
        <f t="shared" si="27"/>
        <v>-8643638.7918237168</v>
      </c>
      <c r="Y63" s="34">
        <f t="shared" si="27"/>
        <v>-8816511.5676601902</v>
      </c>
      <c r="Z63" s="34">
        <f t="shared" si="27"/>
        <v>-8992841.7990133949</v>
      </c>
      <c r="AA63" s="34">
        <f t="shared" si="27"/>
        <v>-9172698.6349936612</v>
      </c>
      <c r="AB63" s="34">
        <f t="shared" si="27"/>
        <v>-9356152.6076935362</v>
      </c>
      <c r="AC63" s="34">
        <f t="shared" si="27"/>
        <v>-9543275.6598474048</v>
      </c>
      <c r="AD63" s="34">
        <f t="shared" si="27"/>
        <v>-9734141.1730443537</v>
      </c>
      <c r="AE63" s="34">
        <f t="shared" si="27"/>
        <v>-9928823.9965052418</v>
      </c>
      <c r="AF63" s="34">
        <f t="shared" si="27"/>
        <v>-10127400.476435345</v>
      </c>
      <c r="AG63" s="34">
        <f t="shared" si="27"/>
        <v>-10329948.485964052</v>
      </c>
      <c r="AH63" s="34">
        <f t="shared" si="27"/>
        <v>-10536547.455683336</v>
      </c>
      <c r="AI63" s="34">
        <f t="shared" si="27"/>
        <v>-10747278.404797001</v>
      </c>
      <c r="AJ63" s="34">
        <f t="shared" si="27"/>
        <v>-10962223.97289294</v>
      </c>
      <c r="AK63" s="34">
        <f t="shared" si="27"/>
        <v>-11181468.452350801</v>
      </c>
      <c r="AL63" s="34">
        <f t="shared" si="27"/>
        <v>-11405097.821397815</v>
      </c>
      <c r="AM63" s="34">
        <f t="shared" si="27"/>
        <v>-11633199.777825773</v>
      </c>
      <c r="AN63" s="34">
        <f t="shared" si="27"/>
        <v>-11865863.773382287</v>
      </c>
      <c r="AO63" s="34">
        <f t="shared" si="27"/>
        <v>-12103181.048849931</v>
      </c>
      <c r="AP63" s="34">
        <f t="shared" si="27"/>
        <v>-12345244.66982693</v>
      </c>
      <c r="AQ63" s="34">
        <f t="shared" si="27"/>
        <v>-12592149.56322347</v>
      </c>
      <c r="AR63" s="34">
        <f t="shared" si="27"/>
        <v>-12843992.55448794</v>
      </c>
      <c r="AS63" s="34">
        <f t="shared" si="27"/>
        <v>-13100872.405577699</v>
      </c>
      <c r="AT63" s="34">
        <f t="shared" si="27"/>
        <v>-13362889.853689251</v>
      </c>
      <c r="AU63" s="34">
        <f t="shared" si="27"/>
        <v>-13630147.650763037</v>
      </c>
      <c r="AV63" s="34">
        <f t="shared" si="27"/>
        <v>-13902750.603778299</v>
      </c>
      <c r="AW63" s="34">
        <f t="shared" si="27"/>
        <v>-14180805.615853863</v>
      </c>
      <c r="AX63" s="34">
        <f t="shared" si="27"/>
        <v>-14464421.728170941</v>
      </c>
      <c r="AY63" s="34">
        <f t="shared" si="27"/>
        <v>-14753710.162734361</v>
      </c>
      <c r="AZ63" s="34">
        <f t="shared" si="27"/>
        <v>-15048784.365989046</v>
      </c>
      <c r="BA63" s="34">
        <f t="shared" si="27"/>
        <v>-15349760.053308828</v>
      </c>
      <c r="BB63" s="34">
        <f t="shared" si="27"/>
        <v>-15656755.254375003</v>
      </c>
      <c r="BC63" s="34">
        <f t="shared" si="27"/>
        <v>-15969890.359462505</v>
      </c>
      <c r="BD63" s="34">
        <f t="shared" si="27"/>
        <v>-16289288.166651756</v>
      </c>
      <c r="BE63" s="34">
        <f t="shared" si="27"/>
        <v>-16615073.929984789</v>
      </c>
      <c r="BF63" s="34">
        <f t="shared" si="27"/>
        <v>-16947375.408584487</v>
      </c>
      <c r="BG63" s="34">
        <f t="shared" si="27"/>
        <v>-17286322.916756175</v>
      </c>
      <c r="BH63" s="34">
        <f t="shared" si="27"/>
        <v>-17632049.375091299</v>
      </c>
      <c r="BI63" s="34">
        <f t="shared" si="27"/>
        <v>-17984690.362593126</v>
      </c>
      <c r="BJ63" s="34">
        <f t="shared" si="27"/>
        <v>-18344384.169844989</v>
      </c>
      <c r="BK63" s="34">
        <f t="shared" si="27"/>
        <v>-18711271.853241887</v>
      </c>
      <c r="BL63" s="34">
        <f t="shared" si="27"/>
        <v>-19085497.290306725</v>
      </c>
      <c r="BM63" s="34">
        <f t="shared" si="27"/>
        <v>-19467207.236112859</v>
      </c>
    </row>
    <row r="64" spans="1:75">
      <c r="A64" s="41"/>
      <c r="B64" s="27"/>
      <c r="C64" s="27" t="s">
        <v>30</v>
      </c>
      <c r="D64" s="27">
        <f>SUM(E64:BU64)</f>
        <v>-407157614.31934488</v>
      </c>
      <c r="E64" s="27"/>
      <c r="F64" s="27"/>
      <c r="G64" s="27"/>
      <c r="H64" s="27"/>
      <c r="I64" s="27"/>
      <c r="J64" s="27"/>
      <c r="K64" s="27"/>
      <c r="L64" s="27"/>
      <c r="M64" s="34">
        <f t="shared" ref="M64:BM64" si="28">IPMT($D$18, M61, $D$23,$E$65)</f>
        <v>-12904792.177298326</v>
      </c>
      <c r="N64" s="34">
        <f t="shared" si="28"/>
        <v>-12765756.99322759</v>
      </c>
      <c r="O64" s="34">
        <f t="shared" si="28"/>
        <v>-12623941.105475441</v>
      </c>
      <c r="P64" s="34">
        <f t="shared" si="28"/>
        <v>-12479288.899968246</v>
      </c>
      <c r="Q64" s="34">
        <f t="shared" si="28"/>
        <v>-12331743.650350908</v>
      </c>
      <c r="R64" s="34">
        <f t="shared" si="28"/>
        <v>-12181247.495741224</v>
      </c>
      <c r="S64" s="34">
        <f t="shared" si="28"/>
        <v>-12027741.418039346</v>
      </c>
      <c r="T64" s="34">
        <f t="shared" si="28"/>
        <v>-11871165.218783429</v>
      </c>
      <c r="U64" s="34">
        <f t="shared" si="28"/>
        <v>-11711457.495542398</v>
      </c>
      <c r="V64" s="34">
        <f t="shared" si="28"/>
        <v>-11548555.617836542</v>
      </c>
      <c r="W64" s="34">
        <f t="shared" si="28"/>
        <v>-11382395.70257657</v>
      </c>
      <c r="X64" s="34">
        <f t="shared" si="28"/>
        <v>-11212912.589011399</v>
      </c>
      <c r="Y64" s="34">
        <f t="shared" si="28"/>
        <v>-11040039.813174928</v>
      </c>
      <c r="Z64" s="34">
        <f t="shared" si="28"/>
        <v>-10863709.581821721</v>
      </c>
      <c r="AA64" s="34">
        <f t="shared" si="28"/>
        <v>-10683852.745841457</v>
      </c>
      <c r="AB64" s="34">
        <f t="shared" si="28"/>
        <v>-10500398.77314158</v>
      </c>
      <c r="AC64" s="34">
        <f t="shared" si="28"/>
        <v>-10313275.720987711</v>
      </c>
      <c r="AD64" s="34">
        <f t="shared" si="28"/>
        <v>-10122410.207790762</v>
      </c>
      <c r="AE64" s="34">
        <f t="shared" si="28"/>
        <v>-9927727.3843298778</v>
      </c>
      <c r="AF64" s="34">
        <f t="shared" si="28"/>
        <v>-9729150.9043997712</v>
      </c>
      <c r="AG64" s="34">
        <f t="shared" si="28"/>
        <v>-9526602.8948710654</v>
      </c>
      <c r="AH64" s="34">
        <f t="shared" si="28"/>
        <v>-9320003.9251517821</v>
      </c>
      <c r="AI64" s="34">
        <f t="shared" si="28"/>
        <v>-9109272.9760381151</v>
      </c>
      <c r="AJ64" s="34">
        <f t="shared" si="28"/>
        <v>-8894327.4079421759</v>
      </c>
      <c r="AK64" s="34">
        <f t="shared" si="28"/>
        <v>-8675082.9284843188</v>
      </c>
      <c r="AL64" s="34">
        <f t="shared" si="28"/>
        <v>-8451453.5594373029</v>
      </c>
      <c r="AM64" s="34">
        <f t="shared" si="28"/>
        <v>-8223351.6030093441</v>
      </c>
      <c r="AN64" s="34">
        <f t="shared" si="28"/>
        <v>-7990687.6074528303</v>
      </c>
      <c r="AO64" s="34">
        <f t="shared" si="28"/>
        <v>-7753370.3319851831</v>
      </c>
      <c r="AP64" s="34">
        <f t="shared" si="28"/>
        <v>-7511306.7110081855</v>
      </c>
      <c r="AQ64" s="34">
        <f t="shared" si="28"/>
        <v>-7264401.817611644</v>
      </c>
      <c r="AR64" s="34">
        <f t="shared" si="28"/>
        <v>-7012558.8263471769</v>
      </c>
      <c r="AS64" s="34">
        <f t="shared" si="28"/>
        <v>-6755678.9752574181</v>
      </c>
      <c r="AT64" s="34">
        <f t="shared" si="28"/>
        <v>-6493661.5271458635</v>
      </c>
      <c r="AU64" s="34">
        <f t="shared" si="28"/>
        <v>-6226403.7300720792</v>
      </c>
      <c r="AV64" s="34">
        <f t="shared" si="28"/>
        <v>-5953800.7770568179</v>
      </c>
      <c r="AW64" s="34">
        <f t="shared" si="28"/>
        <v>-5675745.7649812521</v>
      </c>
      <c r="AX64" s="34">
        <f t="shared" si="28"/>
        <v>-5392129.6526641753</v>
      </c>
      <c r="AY64" s="34">
        <f t="shared" si="28"/>
        <v>-5102841.2181007564</v>
      </c>
      <c r="AZ64" s="34">
        <f t="shared" si="28"/>
        <v>-4807767.0148460697</v>
      </c>
      <c r="BA64" s="34">
        <f t="shared" si="28"/>
        <v>-4506791.3275262881</v>
      </c>
      <c r="BB64" s="34">
        <f t="shared" si="28"/>
        <v>-4199796.1264601126</v>
      </c>
      <c r="BC64" s="34">
        <f t="shared" si="28"/>
        <v>-3886661.0213726116</v>
      </c>
      <c r="BD64" s="34">
        <f t="shared" si="28"/>
        <v>-3567263.2141833617</v>
      </c>
      <c r="BE64" s="34">
        <f t="shared" si="28"/>
        <v>-3241477.4508503266</v>
      </c>
      <c r="BF64" s="34">
        <f t="shared" si="28"/>
        <v>-2909175.9722506301</v>
      </c>
      <c r="BG64" s="34">
        <f t="shared" si="28"/>
        <v>-2570228.4640789414</v>
      </c>
      <c r="BH64" s="34">
        <f t="shared" si="28"/>
        <v>-2224502.0057438179</v>
      </c>
      <c r="BI64" s="34">
        <f t="shared" si="28"/>
        <v>-1871861.0182419915</v>
      </c>
      <c r="BJ64" s="34">
        <f t="shared" si="28"/>
        <v>-1512167.210990129</v>
      </c>
      <c r="BK64" s="34">
        <f t="shared" si="28"/>
        <v>-1145279.5275932294</v>
      </c>
      <c r="BL64" s="34">
        <f t="shared" si="28"/>
        <v>-771054.09052839177</v>
      </c>
      <c r="BM64" s="34">
        <f t="shared" si="28"/>
        <v>-389344.14472225722</v>
      </c>
    </row>
    <row r="65" spans="1:65">
      <c r="A65" s="41"/>
      <c r="B65" s="33" t="s">
        <v>31</v>
      </c>
      <c r="C65" s="42"/>
      <c r="D65" s="27"/>
      <c r="E65" s="27">
        <f>D24-D24/3</f>
        <v>645239608.86491632</v>
      </c>
      <c r="F65" s="27"/>
      <c r="G65" s="27"/>
      <c r="H65" s="27"/>
      <c r="I65" s="27"/>
      <c r="J65" s="27"/>
      <c r="K65" s="27"/>
      <c r="L65" s="27"/>
      <c r="M65" s="27">
        <f>E65+M63</f>
        <v>638287849.66137958</v>
      </c>
      <c r="N65" s="27">
        <f>M65+N63</f>
        <v>631197055.273772</v>
      </c>
      <c r="O65" s="27">
        <f t="shared" ref="O65:AZ65" si="29">N65+O63</f>
        <v>623964444.99841237</v>
      </c>
      <c r="P65" s="27">
        <f t="shared" si="29"/>
        <v>616587182.51754546</v>
      </c>
      <c r="Q65" s="27">
        <f t="shared" si="29"/>
        <v>609062374.78706121</v>
      </c>
      <c r="R65" s="27">
        <f t="shared" si="29"/>
        <v>601387070.90196729</v>
      </c>
      <c r="S65" s="27">
        <f t="shared" si="29"/>
        <v>593558260.93917155</v>
      </c>
      <c r="T65" s="27">
        <f t="shared" si="29"/>
        <v>585572874.77711987</v>
      </c>
      <c r="U65" s="27">
        <f t="shared" si="29"/>
        <v>577427780.89182711</v>
      </c>
      <c r="V65" s="27">
        <f t="shared" si="29"/>
        <v>569119785.12882853</v>
      </c>
      <c r="W65" s="27">
        <f t="shared" si="29"/>
        <v>560645629.45056999</v>
      </c>
      <c r="X65" s="27">
        <f t="shared" si="29"/>
        <v>552001990.65874624</v>
      </c>
      <c r="Y65" s="27">
        <f t="shared" si="29"/>
        <v>543185479.09108603</v>
      </c>
      <c r="Z65" s="27">
        <f t="shared" si="29"/>
        <v>534192637.29207265</v>
      </c>
      <c r="AA65" s="27">
        <f t="shared" si="29"/>
        <v>525019938.65707898</v>
      </c>
      <c r="AB65" s="27">
        <f t="shared" si="29"/>
        <v>515663786.04938543</v>
      </c>
      <c r="AC65" s="27">
        <f t="shared" si="29"/>
        <v>506120510.38953805</v>
      </c>
      <c r="AD65" s="27">
        <f t="shared" si="29"/>
        <v>496386369.21649373</v>
      </c>
      <c r="AE65" s="27">
        <f t="shared" si="29"/>
        <v>486457545.21998847</v>
      </c>
      <c r="AF65" s="27">
        <f t="shared" si="29"/>
        <v>476330144.7435531</v>
      </c>
      <c r="AG65" s="27">
        <f t="shared" si="29"/>
        <v>466000196.25758904</v>
      </c>
      <c r="AH65" s="27">
        <f t="shared" si="29"/>
        <v>455463648.80190569</v>
      </c>
      <c r="AI65" s="27">
        <f t="shared" si="29"/>
        <v>444716370.39710867</v>
      </c>
      <c r="AJ65" s="27">
        <f t="shared" si="29"/>
        <v>433754146.42421573</v>
      </c>
      <c r="AK65" s="27">
        <f t="shared" si="29"/>
        <v>422572677.97186494</v>
      </c>
      <c r="AL65" s="27">
        <f t="shared" si="29"/>
        <v>411167580.1504671</v>
      </c>
      <c r="AM65" s="27">
        <f t="shared" si="29"/>
        <v>399534380.37264132</v>
      </c>
      <c r="AN65" s="27">
        <f t="shared" si="29"/>
        <v>387668516.59925902</v>
      </c>
      <c r="AO65" s="27">
        <f t="shared" si="29"/>
        <v>375565335.55040908</v>
      </c>
      <c r="AP65" s="27">
        <f t="shared" si="29"/>
        <v>363220090.88058215</v>
      </c>
      <c r="AQ65" s="27">
        <f t="shared" si="29"/>
        <v>350627941.31735867</v>
      </c>
      <c r="AR65" s="27">
        <f t="shared" si="29"/>
        <v>337783948.76287073</v>
      </c>
      <c r="AS65" s="27">
        <f t="shared" si="29"/>
        <v>324683076.35729301</v>
      </c>
      <c r="AT65" s="27">
        <f t="shared" si="29"/>
        <v>311320186.50360376</v>
      </c>
      <c r="AU65" s="27">
        <f t="shared" si="29"/>
        <v>297690038.85284072</v>
      </c>
      <c r="AV65" s="27">
        <f t="shared" si="29"/>
        <v>283787288.24906242</v>
      </c>
      <c r="AW65" s="27">
        <f t="shared" si="29"/>
        <v>269606482.63320857</v>
      </c>
      <c r="AX65" s="27">
        <f t="shared" si="29"/>
        <v>255142060.90503764</v>
      </c>
      <c r="AY65" s="27">
        <f t="shared" si="29"/>
        <v>240388350.74230328</v>
      </c>
      <c r="AZ65" s="27">
        <f t="shared" si="29"/>
        <v>225339566.37631422</v>
      </c>
      <c r="BA65" s="27">
        <f t="shared" ref="BA65" si="30">AZ65+BA63</f>
        <v>209989806.32300541</v>
      </c>
      <c r="BB65" s="27">
        <f t="shared" ref="BB65" si="31">BA65+BB63</f>
        <v>194333051.0686304</v>
      </c>
      <c r="BC65" s="27">
        <f t="shared" ref="BC65" si="32">BB65+BC63</f>
        <v>178363160.7091679</v>
      </c>
      <c r="BD65" s="27">
        <f t="shared" ref="BD65" si="33">BC65+BD63</f>
        <v>162073872.54251614</v>
      </c>
      <c r="BE65" s="27">
        <f t="shared" ref="BE65" si="34">BD65+BE63</f>
        <v>145458798.61253136</v>
      </c>
      <c r="BF65" s="27">
        <f t="shared" ref="BF65" si="35">BE65+BF63</f>
        <v>128511423.20394687</v>
      </c>
      <c r="BG65" s="27">
        <f t="shared" ref="BG65" si="36">BF65+BG63</f>
        <v>111225100.28719071</v>
      </c>
      <c r="BH65" s="27">
        <f t="shared" ref="BH65" si="37">BG65+BH63</f>
        <v>93593050.912099406</v>
      </c>
      <c r="BI65" s="27">
        <f t="shared" ref="BI65" si="38">BH65+BI63</f>
        <v>75608360.549506277</v>
      </c>
      <c r="BJ65" s="27">
        <f t="shared" ref="BJ65" si="39">BI65+BJ63</f>
        <v>57263976.379661292</v>
      </c>
      <c r="BK65" s="27">
        <f t="shared" ref="BK65" si="40">BJ65+BK63</f>
        <v>38552704.526419401</v>
      </c>
      <c r="BL65" s="27">
        <f t="shared" ref="BL65" si="41">BK65+BL63</f>
        <v>19467207.236112677</v>
      </c>
      <c r="BM65" s="27">
        <f t="shared" ref="BM65" si="42">BL65+BM63</f>
        <v>-1.8253922462463379E-7</v>
      </c>
    </row>
    <row r="66" spans="1:65" ht="21">
      <c r="A66" s="43"/>
      <c r="B66" s="26" t="s">
        <v>32</v>
      </c>
      <c r="C66" s="27"/>
      <c r="D66" s="27">
        <f>SUM(E66:BU66)</f>
        <v>-737179086.61488581</v>
      </c>
      <c r="E66" s="27"/>
      <c r="F66" s="27"/>
      <c r="G66" s="27"/>
      <c r="H66" s="27"/>
      <c r="I66" s="27"/>
      <c r="J66" s="27"/>
      <c r="K66" s="27"/>
      <c r="L66" s="27"/>
      <c r="M66" s="27">
        <f>M62*M29</f>
        <v>-18081308.090829886</v>
      </c>
      <c r="N66" s="27">
        <f t="shared" ref="N66:BM66" si="43">N62*N29</f>
        <v>-17890771.375678904</v>
      </c>
      <c r="O66" s="27">
        <f t="shared" si="43"/>
        <v>-17702242.4931271</v>
      </c>
      <c r="P66" s="27">
        <f t="shared" si="43"/>
        <v>-17515700.285090882</v>
      </c>
      <c r="Q66" s="27">
        <f t="shared" si="43"/>
        <v>-17331123.816445738</v>
      </c>
      <c r="R66" s="27">
        <f t="shared" si="43"/>
        <v>-17148492.372676726</v>
      </c>
      <c r="S66" s="27">
        <f t="shared" si="43"/>
        <v>-16967785.457553778</v>
      </c>
      <c r="T66" s="27">
        <f t="shared" si="43"/>
        <v>-16788982.790831424</v>
      </c>
      <c r="U66" s="27">
        <f t="shared" si="43"/>
        <v>-16612064.305972815</v>
      </c>
      <c r="V66" s="27">
        <f t="shared" si="43"/>
        <v>-16437010.147897702</v>
      </c>
      <c r="W66" s="27">
        <f t="shared" si="43"/>
        <v>-16263800.670754168</v>
      </c>
      <c r="X66" s="27">
        <f t="shared" si="43"/>
        <v>-16092416.435713816</v>
      </c>
      <c r="Y66" s="27">
        <f t="shared" si="43"/>
        <v>-15922838.208790204</v>
      </c>
      <c r="Z66" s="27">
        <f t="shared" si="43"/>
        <v>-15755046.958680253</v>
      </c>
      <c r="AA66" s="27">
        <f t="shared" si="43"/>
        <v>-15589023.854628462</v>
      </c>
      <c r="AB66" s="27">
        <f t="shared" si="43"/>
        <v>-15424750.264313525</v>
      </c>
      <c r="AC66" s="27">
        <f t="shared" si="43"/>
        <v>-15262207.751757307</v>
      </c>
      <c r="AD66" s="27">
        <f t="shared" si="43"/>
        <v>-15101378.075255834</v>
      </c>
      <c r="AE66" s="27">
        <f t="shared" si="43"/>
        <v>-14942243.185332045</v>
      </c>
      <c r="AF66" s="27">
        <f t="shared" si="43"/>
        <v>-14784785.222710183</v>
      </c>
      <c r="AG66" s="27">
        <f t="shared" si="43"/>
        <v>-14628986.516311467</v>
      </c>
      <c r="AH66" s="27">
        <f t="shared" si="43"/>
        <v>-14474829.581270929</v>
      </c>
      <c r="AI66" s="27">
        <f t="shared" si="43"/>
        <v>-14322297.116975144</v>
      </c>
      <c r="AJ66" s="27">
        <f t="shared" si="43"/>
        <v>-14171372.005120607</v>
      </c>
      <c r="AK66" s="27">
        <f t="shared" si="43"/>
        <v>-14022037.307792617</v>
      </c>
      <c r="AL66" s="27">
        <f t="shared" si="43"/>
        <v>-13874276.265564354</v>
      </c>
      <c r="AM66" s="27">
        <f t="shared" si="43"/>
        <v>-13728072.295616042</v>
      </c>
      <c r="AN66" s="27">
        <f t="shared" si="43"/>
        <v>-13583408.989873886</v>
      </c>
      <c r="AO66" s="27">
        <f t="shared" si="43"/>
        <v>-13440270.113168644</v>
      </c>
      <c r="AP66" s="27">
        <f t="shared" si="43"/>
        <v>-13298639.601413585</v>
      </c>
      <c r="AQ66" s="27">
        <f t="shared" si="43"/>
        <v>-13158501.559801698</v>
      </c>
      <c r="AR66" s="27">
        <f t="shared" si="43"/>
        <v>-13019840.261021813</v>
      </c>
      <c r="AS66" s="27">
        <f t="shared" si="43"/>
        <v>-12882640.143493608</v>
      </c>
      <c r="AT66" s="27">
        <f t="shared" si="43"/>
        <v>-12746885.809621142</v>
      </c>
      <c r="AU66" s="27">
        <f t="shared" si="43"/>
        <v>-12612562.02406485</v>
      </c>
      <c r="AV66" s="27">
        <f t="shared" si="43"/>
        <v>-12479653.712031711</v>
      </c>
      <c r="AW66" s="27">
        <f t="shared" si="43"/>
        <v>-12348145.957583448</v>
      </c>
      <c r="AX66" s="27">
        <f t="shared" si="43"/>
        <v>-12218024.001962548</v>
      </c>
      <c r="AY66" s="27">
        <f t="shared" si="43"/>
        <v>-12089273.241935929</v>
      </c>
      <c r="AZ66" s="27">
        <f t="shared" si="43"/>
        <v>-11961879.228156066</v>
      </c>
      <c r="BA66" s="27">
        <f t="shared" si="43"/>
        <v>-11835827.663539372</v>
      </c>
      <c r="BB66" s="27">
        <f t="shared" si="43"/>
        <v>-11711104.401661674</v>
      </c>
      <c r="BC66" s="27">
        <f t="shared" si="43"/>
        <v>-11587695.445170607</v>
      </c>
      <c r="BD66" s="27">
        <f t="shared" si="43"/>
        <v>-11465586.94421472</v>
      </c>
      <c r="BE66" s="27">
        <f t="shared" si="43"/>
        <v>-11344765.194889152</v>
      </c>
      <c r="BF66" s="27">
        <f t="shared" si="43"/>
        <v>-11225216.637697669</v>
      </c>
      <c r="BG66" s="27">
        <f t="shared" si="43"/>
        <v>-11106927.856030939</v>
      </c>
      <c r="BH66" s="27">
        <f t="shared" si="43"/>
        <v>-10989885.574660802</v>
      </c>
      <c r="BI66" s="27">
        <f t="shared" si="43"/>
        <v>-10874076.658250438</v>
      </c>
      <c r="BJ66" s="27">
        <f t="shared" si="43"/>
        <v>-10759488.109880211</v>
      </c>
      <c r="BK66" s="27">
        <f t="shared" si="43"/>
        <v>-10646107.069589086</v>
      </c>
      <c r="BL66" s="27">
        <f t="shared" si="43"/>
        <v>-10533920.812931368</v>
      </c>
      <c r="BM66" s="27">
        <f t="shared" si="43"/>
        <v>-10422916.749548677</v>
      </c>
    </row>
    <row r="67" spans="1:65">
      <c r="A67" s="27"/>
      <c r="B67" s="27"/>
      <c r="C67" s="27" t="s">
        <v>29</v>
      </c>
      <c r="D67" s="27">
        <f>SUM(E67:BU67)</f>
        <v>-390698122.3337552</v>
      </c>
      <c r="E67" s="27"/>
      <c r="F67" s="27"/>
      <c r="G67" s="27"/>
      <c r="H67" s="27"/>
      <c r="I67" s="27"/>
      <c r="J67" s="27"/>
      <c r="K67" s="27"/>
      <c r="L67" s="27"/>
      <c r="M67" s="27">
        <f>M63*M29</f>
        <v>-5744876.203829417</v>
      </c>
      <c r="N67" s="27">
        <f t="shared" ref="N67:BM67" si="44">N63*N29</f>
        <v>-5798024.7641676217</v>
      </c>
      <c r="O67" s="27">
        <f t="shared" si="44"/>
        <v>-5851665.0269143349</v>
      </c>
      <c r="P67" s="27">
        <f t="shared" si="44"/>
        <v>-5905801.5410405397</v>
      </c>
      <c r="Q67" s="27">
        <f t="shared" si="44"/>
        <v>-5960438.8976018913</v>
      </c>
      <c r="R67" s="27">
        <f t="shared" si="44"/>
        <v>-6015581.7301280648</v>
      </c>
      <c r="S67" s="27">
        <f t="shared" si="44"/>
        <v>-6071234.7150157085</v>
      </c>
      <c r="T67" s="27">
        <f t="shared" si="44"/>
        <v>-6127402.5719250217</v>
      </c>
      <c r="U67" s="27">
        <f t="shared" si="44"/>
        <v>-6184090.0641800035</v>
      </c>
      <c r="V67" s="27">
        <f t="shared" si="44"/>
        <v>-6241301.9991724184</v>
      </c>
      <c r="W67" s="27">
        <f t="shared" si="44"/>
        <v>-6299043.2287694719</v>
      </c>
      <c r="X67" s="27">
        <f t="shared" si="44"/>
        <v>-6357318.6497252863</v>
      </c>
      <c r="Y67" s="27">
        <f t="shared" si="44"/>
        <v>-6416133.2040961683</v>
      </c>
      <c r="Z67" s="27">
        <f t="shared" si="44"/>
        <v>-6475491.8796597142</v>
      </c>
      <c r="AA67" s="27">
        <f t="shared" si="44"/>
        <v>-6535399.7103378111</v>
      </c>
      <c r="AB67" s="27">
        <f t="shared" si="44"/>
        <v>-6595861.7766235285</v>
      </c>
      <c r="AC67" s="27">
        <f t="shared" si="44"/>
        <v>-6656883.2060119687</v>
      </c>
      <c r="AD67" s="27">
        <f t="shared" si="44"/>
        <v>-6718469.1734351255</v>
      </c>
      <c r="AE67" s="27">
        <f t="shared" si="44"/>
        <v>-6780624.9017007146</v>
      </c>
      <c r="AF67" s="27">
        <f t="shared" si="44"/>
        <v>-6843355.6619351199</v>
      </c>
      <c r="AG67" s="27">
        <f t="shared" si="44"/>
        <v>-6906666.7740303986</v>
      </c>
      <c r="AH67" s="27">
        <f t="shared" si="44"/>
        <v>-6970563.6070954408</v>
      </c>
      <c r="AI67" s="27">
        <f t="shared" si="44"/>
        <v>-7035051.5799112935</v>
      </c>
      <c r="AJ67" s="27">
        <f t="shared" si="44"/>
        <v>-7100136.1613907069</v>
      </c>
      <c r="AK67" s="27">
        <f t="shared" si="44"/>
        <v>-7165822.8710419256</v>
      </c>
      <c r="AL67" s="27">
        <f t="shared" si="44"/>
        <v>-7232117.2794367606</v>
      </c>
      <c r="AM67" s="27">
        <f t="shared" si="44"/>
        <v>-7299025.0086830221</v>
      </c>
      <c r="AN67" s="27">
        <f t="shared" si="44"/>
        <v>-7366551.7329012835</v>
      </c>
      <c r="AO67" s="27">
        <f t="shared" si="44"/>
        <v>-7434703.17870609</v>
      </c>
      <c r="AP67" s="27">
        <f t="shared" si="44"/>
        <v>-7503485.1256915946</v>
      </c>
      <c r="AQ67" s="27">
        <f t="shared" si="44"/>
        <v>-7572903.4069217108</v>
      </c>
      <c r="AR67" s="27">
        <f t="shared" si="44"/>
        <v>-7642963.9094247706</v>
      </c>
      <c r="AS67" s="27">
        <f t="shared" si="44"/>
        <v>-7713672.5746927895</v>
      </c>
      <c r="AT67" s="27">
        <f t="shared" si="44"/>
        <v>-7785035.3991853204</v>
      </c>
      <c r="AU67" s="27">
        <f t="shared" si="44"/>
        <v>-7857058.4348380007</v>
      </c>
      <c r="AV67" s="27">
        <f t="shared" si="44"/>
        <v>-7929747.7895757798</v>
      </c>
      <c r="AW67" s="27">
        <f t="shared" si="44"/>
        <v>-8003109.6278308956</v>
      </c>
      <c r="AX67" s="27">
        <f t="shared" si="44"/>
        <v>-8077150.1710656639</v>
      </c>
      <c r="AY67" s="27">
        <f t="shared" si="44"/>
        <v>-8151875.6983000822</v>
      </c>
      <c r="AZ67" s="27">
        <f t="shared" si="44"/>
        <v>-8227292.5466443188</v>
      </c>
      <c r="BA67" s="27">
        <f t="shared" si="44"/>
        <v>-8303407.1118361522</v>
      </c>
      <c r="BB67" s="27">
        <f t="shared" si="44"/>
        <v>-8380225.8487833301</v>
      </c>
      <c r="BC67" s="27">
        <f t="shared" si="44"/>
        <v>-8457755.2721110173</v>
      </c>
      <c r="BD67" s="27">
        <f t="shared" si="44"/>
        <v>-8536001.9567142297</v>
      </c>
      <c r="BE67" s="27">
        <f t="shared" si="44"/>
        <v>-8614972.5383154564</v>
      </c>
      <c r="BF67" s="27">
        <f t="shared" si="44"/>
        <v>-8694673.7140273713</v>
      </c>
      <c r="BG67" s="27">
        <f t="shared" si="44"/>
        <v>-8775112.2429208122</v>
      </c>
      <c r="BH67" s="27">
        <f t="shared" si="44"/>
        <v>-8856294.9465979617</v>
      </c>
      <c r="BI67" s="27">
        <f t="shared" si="44"/>
        <v>-8938228.709770862</v>
      </c>
      <c r="BJ67" s="27">
        <f t="shared" si="44"/>
        <v>-9020920.4808452744</v>
      </c>
      <c r="BK67" s="27">
        <f t="shared" si="44"/>
        <v>-9104377.2725099493</v>
      </c>
      <c r="BL67" s="27">
        <f t="shared" si="44"/>
        <v>-9188606.1623313203</v>
      </c>
      <c r="BM67" s="27">
        <f t="shared" si="44"/>
        <v>-9273614.2933537308</v>
      </c>
    </row>
    <row r="68" spans="1:65">
      <c r="A68" s="27"/>
      <c r="B68" s="27"/>
      <c r="C68" s="27" t="s">
        <v>30</v>
      </c>
      <c r="D68" s="27">
        <f>SUM(E68:BU68)</f>
        <v>-278312383.28916025</v>
      </c>
      <c r="E68" s="27"/>
      <c r="F68" s="27"/>
      <c r="G68" s="27"/>
      <c r="H68" s="27"/>
      <c r="I68" s="27"/>
      <c r="J68" s="27"/>
      <c r="K68" s="27"/>
      <c r="L68" s="27"/>
      <c r="M68" s="27">
        <f>M64*M29</f>
        <v>-10664413.326774521</v>
      </c>
      <c r="N68" s="27">
        <f t="shared" ref="N68:BM68" si="45">N64*N29</f>
        <v>-10438347.402857499</v>
      </c>
      <c r="O68" s="27">
        <f t="shared" si="45"/>
        <v>-10213611.940408792</v>
      </c>
      <c r="P68" s="27">
        <f t="shared" si="45"/>
        <v>-9990183.1889086291</v>
      </c>
      <c r="Q68" s="27">
        <f t="shared" si="45"/>
        <v>-9768037.5580941159</v>
      </c>
      <c r="R68" s="27">
        <f t="shared" si="45"/>
        <v>-9547151.615437666</v>
      </c>
      <c r="S68" s="27">
        <f t="shared" si="45"/>
        <v>-9327502.0836442914</v>
      </c>
      <c r="T68" s="27">
        <f t="shared" si="45"/>
        <v>-9109065.8381674923</v>
      </c>
      <c r="U68" s="27">
        <f t="shared" si="45"/>
        <v>-8891819.9047434777</v>
      </c>
      <c r="V68" s="27">
        <f t="shared" si="45"/>
        <v>-8675741.4569434281</v>
      </c>
      <c r="W68" s="27">
        <f t="shared" si="45"/>
        <v>-8460807.8137436081</v>
      </c>
      <c r="X68" s="27">
        <f t="shared" si="45"/>
        <v>-8246996.4371129656</v>
      </c>
      <c r="Y68" s="27">
        <f t="shared" si="45"/>
        <v>-8034284.9296180317</v>
      </c>
      <c r="Z68" s="27">
        <f t="shared" si="45"/>
        <v>-7822651.0320448261</v>
      </c>
      <c r="AA68" s="27">
        <f t="shared" si="45"/>
        <v>-7612072.6210375857</v>
      </c>
      <c r="AB68" s="27">
        <f t="shared" si="45"/>
        <v>-7402527.7067538975</v>
      </c>
      <c r="AC68" s="27">
        <f t="shared" si="45"/>
        <v>-7193994.4305362171</v>
      </c>
      <c r="AD68" s="27">
        <f t="shared" si="45"/>
        <v>-6986451.0625992948</v>
      </c>
      <c r="AE68" s="27">
        <f t="shared" si="45"/>
        <v>-6779875.9997334322</v>
      </c>
      <c r="AF68" s="27">
        <f t="shared" si="45"/>
        <v>-6574247.7630232209</v>
      </c>
      <c r="AG68" s="27">
        <f t="shared" si="45"/>
        <v>-6369544.9955815747</v>
      </c>
      <c r="AH68" s="27">
        <f t="shared" si="45"/>
        <v>-6165746.4602987831</v>
      </c>
      <c r="AI68" s="27">
        <f t="shared" si="45"/>
        <v>-5962831.037606366</v>
      </c>
      <c r="AJ68" s="27">
        <f t="shared" si="45"/>
        <v>-5760777.7232554695</v>
      </c>
      <c r="AK68" s="27">
        <f t="shared" si="45"/>
        <v>-5559565.6261095889</v>
      </c>
      <c r="AL68" s="27">
        <f t="shared" si="45"/>
        <v>-5359173.9659513673</v>
      </c>
      <c r="AM68" s="27">
        <f t="shared" si="45"/>
        <v>-5159582.0713032512</v>
      </c>
      <c r="AN68" s="27">
        <f t="shared" si="45"/>
        <v>-4960769.3772617541</v>
      </c>
      <c r="AO68" s="27">
        <f t="shared" si="45"/>
        <v>-4762715.4233451039</v>
      </c>
      <c r="AP68" s="27">
        <f t="shared" si="45"/>
        <v>-4565399.8513540607</v>
      </c>
      <c r="AQ68" s="27">
        <f t="shared" si="45"/>
        <v>-4368802.4032456605</v>
      </c>
      <c r="AR68" s="27">
        <f t="shared" si="45"/>
        <v>-4172902.9190196679</v>
      </c>
      <c r="AS68" s="27">
        <f t="shared" si="45"/>
        <v>-3977681.3346174965</v>
      </c>
      <c r="AT68" s="27">
        <f t="shared" si="45"/>
        <v>-3783117.6798334145</v>
      </c>
      <c r="AU68" s="27">
        <f t="shared" si="45"/>
        <v>-3589192.0762377754</v>
      </c>
      <c r="AV68" s="27">
        <f t="shared" si="45"/>
        <v>-3395884.7351120715</v>
      </c>
      <c r="AW68" s="27">
        <f t="shared" si="45"/>
        <v>-3203175.9553955928</v>
      </c>
      <c r="AX68" s="27">
        <f t="shared" si="45"/>
        <v>-3011046.1216434725</v>
      </c>
      <c r="AY68" s="27">
        <f t="shared" si="45"/>
        <v>-2819475.7019959022</v>
      </c>
      <c r="AZ68" s="27">
        <f t="shared" si="45"/>
        <v>-2628445.2461583149</v>
      </c>
      <c r="BA68" s="27">
        <f t="shared" si="45"/>
        <v>-2437935.3833923005</v>
      </c>
      <c r="BB68" s="27">
        <f t="shared" si="45"/>
        <v>-2247926.8205170706</v>
      </c>
      <c r="BC68" s="27">
        <f t="shared" si="45"/>
        <v>-2058400.3399212426</v>
      </c>
      <c r="BD68" s="27">
        <f t="shared" si="45"/>
        <v>-1869336.7975847446</v>
      </c>
      <c r="BE68" s="27">
        <f t="shared" si="45"/>
        <v>-1680717.1211106321</v>
      </c>
      <c r="BF68" s="27">
        <f t="shared" si="45"/>
        <v>-1492522.3077666077</v>
      </c>
      <c r="BG68" s="27">
        <f t="shared" si="45"/>
        <v>-1304733.4225360521</v>
      </c>
      <c r="BH68" s="27">
        <f t="shared" si="45"/>
        <v>-1117331.5961783365</v>
      </c>
      <c r="BI68" s="27">
        <f t="shared" si="45"/>
        <v>-930298.02329825086</v>
      </c>
      <c r="BJ68" s="27">
        <f t="shared" si="45"/>
        <v>-743613.96042431449</v>
      </c>
      <c r="BK68" s="27">
        <f t="shared" si="45"/>
        <v>-557260.7240957889</v>
      </c>
      <c r="BL68" s="27">
        <f t="shared" si="45"/>
        <v>-371219.68895818538</v>
      </c>
      <c r="BM68" s="27">
        <f t="shared" si="45"/>
        <v>-185472.28586707462</v>
      </c>
    </row>
    <row r="69" spans="1:65">
      <c r="G69" s="45"/>
      <c r="J69" s="46"/>
    </row>
    <row r="70" spans="1:65">
      <c r="A70" s="24"/>
      <c r="C70" s="47"/>
      <c r="D70" s="47"/>
      <c r="E70" s="47"/>
      <c r="F70" s="47"/>
      <c r="G70" s="45"/>
    </row>
    <row r="71" spans="1:65">
      <c r="A71" s="24"/>
      <c r="C71" s="47"/>
      <c r="D71" s="47"/>
      <c r="E71" s="47"/>
      <c r="F71" s="47"/>
      <c r="G71" s="45"/>
      <c r="J71" s="48"/>
    </row>
    <row r="72" spans="1:65">
      <c r="A72" s="24"/>
      <c r="C72" s="47"/>
      <c r="D72" s="47"/>
      <c r="E72" s="47"/>
      <c r="F72" s="47"/>
      <c r="G72" s="45"/>
    </row>
    <row r="73" spans="1:65">
      <c r="A73" s="24"/>
      <c r="C73" s="47"/>
      <c r="D73" s="47"/>
      <c r="E73" s="47"/>
      <c r="F73" s="47"/>
      <c r="G73" s="45"/>
      <c r="J73" s="45"/>
    </row>
    <row r="74" spans="1:65">
      <c r="A74" s="24"/>
      <c r="C74" s="47"/>
      <c r="D74" s="47"/>
      <c r="E74" s="47"/>
      <c r="F74" s="47"/>
      <c r="G74" s="45"/>
    </row>
    <row r="75" spans="1:65">
      <c r="A75" s="24"/>
      <c r="C75" s="47"/>
      <c r="D75" s="47"/>
      <c r="E75" s="47"/>
      <c r="F75" s="47"/>
      <c r="G75" s="45"/>
    </row>
    <row r="76" spans="1:65">
      <c r="A76" s="24"/>
      <c r="C76" s="47"/>
      <c r="D76" s="47"/>
      <c r="E76" s="47"/>
      <c r="F76" s="47"/>
      <c r="G76" s="45"/>
    </row>
    <row r="77" spans="1:65">
      <c r="A77" s="24"/>
      <c r="C77" s="47"/>
      <c r="D77" s="47"/>
      <c r="E77" s="47"/>
      <c r="F77" s="47"/>
      <c r="G77" s="45"/>
    </row>
    <row r="78" spans="1:65">
      <c r="A78" s="24"/>
      <c r="C78" s="47"/>
      <c r="D78" s="47"/>
      <c r="E78" s="47"/>
      <c r="F78" s="47"/>
      <c r="G78" s="45"/>
    </row>
    <row r="79" spans="1:65">
      <c r="A79" s="24"/>
      <c r="C79" s="47"/>
      <c r="D79" s="47"/>
      <c r="E79" s="47"/>
      <c r="F79" s="47"/>
      <c r="G79" s="45"/>
    </row>
    <row r="80" spans="1:65">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8AF98-0174-0E4A-9D0D-AABB96E8E5CD}">
  <sheetPr>
    <tabColor rgb="FF7030A0"/>
  </sheetPr>
  <dimension ref="A1:CB91"/>
  <sheetViews>
    <sheetView topLeftCell="A4" zoomScale="90" zoomScaleNormal="90" workbookViewId="0">
      <pane xSplit="5" ySplit="27" topLeftCell="F31" activePane="bottomRight" state="frozen"/>
      <selection activeCell="A26" sqref="A26:A28"/>
      <selection pane="topRight" activeCell="A26" sqref="A26:A28"/>
      <selection pane="bottomLeft" activeCell="A26" sqref="A26:A28"/>
      <selection pane="bottomRight" activeCell="G70" sqref="G70"/>
    </sheetView>
  </sheetViews>
  <sheetFormatPr defaultColWidth="20.5" defaultRowHeight="15.6"/>
  <cols>
    <col min="1" max="1" width="9.5" customWidth="1"/>
    <col min="2" max="2" width="9.19921875" customWidth="1"/>
    <col min="3" max="3" width="30.796875" customWidth="1"/>
    <col min="4" max="4" width="17.69921875" customWidth="1"/>
    <col min="5" max="5" width="26.796875" customWidth="1"/>
    <col min="257" max="257" width="9.5" customWidth="1"/>
    <col min="258" max="258" width="9.19921875" customWidth="1"/>
    <col min="259" max="259" width="18.19921875" customWidth="1"/>
    <col min="260" max="260" width="25" customWidth="1"/>
    <col min="513" max="513" width="9.5" customWidth="1"/>
    <col min="514" max="514" width="9.19921875" customWidth="1"/>
    <col min="515" max="515" width="18.19921875" customWidth="1"/>
    <col min="516" max="516" width="25" customWidth="1"/>
    <col min="769" max="769" width="9.5" customWidth="1"/>
    <col min="770" max="770" width="9.19921875" customWidth="1"/>
    <col min="771" max="771" width="18.19921875" customWidth="1"/>
    <col min="772" max="772" width="25" customWidth="1"/>
    <col min="1025" max="1025" width="9.5" customWidth="1"/>
    <col min="1026" max="1026" width="9.19921875" customWidth="1"/>
    <col min="1027" max="1027" width="18.19921875" customWidth="1"/>
    <col min="1028" max="1028" width="25" customWidth="1"/>
    <col min="1281" max="1281" width="9.5" customWidth="1"/>
    <col min="1282" max="1282" width="9.19921875" customWidth="1"/>
    <col min="1283" max="1283" width="18.19921875" customWidth="1"/>
    <col min="1284" max="1284" width="25" customWidth="1"/>
    <col min="1537" max="1537" width="9.5" customWidth="1"/>
    <col min="1538" max="1538" width="9.19921875" customWidth="1"/>
    <col min="1539" max="1539" width="18.19921875" customWidth="1"/>
    <col min="1540" max="1540" width="25" customWidth="1"/>
    <col min="1793" max="1793" width="9.5" customWidth="1"/>
    <col min="1794" max="1794" width="9.19921875" customWidth="1"/>
    <col min="1795" max="1795" width="18.19921875" customWidth="1"/>
    <col min="1796" max="1796" width="25" customWidth="1"/>
    <col min="2049" max="2049" width="9.5" customWidth="1"/>
    <col min="2050" max="2050" width="9.19921875" customWidth="1"/>
    <col min="2051" max="2051" width="18.19921875" customWidth="1"/>
    <col min="2052" max="2052" width="25" customWidth="1"/>
    <col min="2305" max="2305" width="9.5" customWidth="1"/>
    <col min="2306" max="2306" width="9.19921875" customWidth="1"/>
    <col min="2307" max="2307" width="18.19921875" customWidth="1"/>
    <col min="2308" max="2308" width="25" customWidth="1"/>
    <col min="2561" max="2561" width="9.5" customWidth="1"/>
    <col min="2562" max="2562" width="9.19921875" customWidth="1"/>
    <col min="2563" max="2563" width="18.19921875" customWidth="1"/>
    <col min="2564" max="2564" width="25" customWidth="1"/>
    <col min="2817" max="2817" width="9.5" customWidth="1"/>
    <col min="2818" max="2818" width="9.19921875" customWidth="1"/>
    <col min="2819" max="2819" width="18.19921875" customWidth="1"/>
    <col min="2820" max="2820" width="25" customWidth="1"/>
    <col min="3073" max="3073" width="9.5" customWidth="1"/>
    <col min="3074" max="3074" width="9.19921875" customWidth="1"/>
    <col min="3075" max="3075" width="18.19921875" customWidth="1"/>
    <col min="3076" max="3076" width="25" customWidth="1"/>
    <col min="3329" max="3329" width="9.5" customWidth="1"/>
    <col min="3330" max="3330" width="9.19921875" customWidth="1"/>
    <col min="3331" max="3331" width="18.19921875" customWidth="1"/>
    <col min="3332" max="3332" width="25" customWidth="1"/>
    <col min="3585" max="3585" width="9.5" customWidth="1"/>
    <col min="3586" max="3586" width="9.19921875" customWidth="1"/>
    <col min="3587" max="3587" width="18.19921875" customWidth="1"/>
    <col min="3588" max="3588" width="25" customWidth="1"/>
    <col min="3841" max="3841" width="9.5" customWidth="1"/>
    <col min="3842" max="3842" width="9.19921875" customWidth="1"/>
    <col min="3843" max="3843" width="18.19921875" customWidth="1"/>
    <col min="3844" max="3844" width="25" customWidth="1"/>
    <col min="4097" max="4097" width="9.5" customWidth="1"/>
    <col min="4098" max="4098" width="9.19921875" customWidth="1"/>
    <col min="4099" max="4099" width="18.19921875" customWidth="1"/>
    <col min="4100" max="4100" width="25" customWidth="1"/>
    <col min="4353" max="4353" width="9.5" customWidth="1"/>
    <col min="4354" max="4354" width="9.19921875" customWidth="1"/>
    <col min="4355" max="4355" width="18.19921875" customWidth="1"/>
    <col min="4356" max="4356" width="25" customWidth="1"/>
    <col min="4609" max="4609" width="9.5" customWidth="1"/>
    <col min="4610" max="4610" width="9.19921875" customWidth="1"/>
    <col min="4611" max="4611" width="18.19921875" customWidth="1"/>
    <col min="4612" max="4612" width="25" customWidth="1"/>
    <col min="4865" max="4865" width="9.5" customWidth="1"/>
    <col min="4866" max="4866" width="9.19921875" customWidth="1"/>
    <col min="4867" max="4867" width="18.19921875" customWidth="1"/>
    <col min="4868" max="4868" width="25" customWidth="1"/>
    <col min="5121" max="5121" width="9.5" customWidth="1"/>
    <col min="5122" max="5122" width="9.19921875" customWidth="1"/>
    <col min="5123" max="5123" width="18.19921875" customWidth="1"/>
    <col min="5124" max="5124" width="25" customWidth="1"/>
    <col min="5377" max="5377" width="9.5" customWidth="1"/>
    <col min="5378" max="5378" width="9.19921875" customWidth="1"/>
    <col min="5379" max="5379" width="18.19921875" customWidth="1"/>
    <col min="5380" max="5380" width="25" customWidth="1"/>
    <col min="5633" max="5633" width="9.5" customWidth="1"/>
    <col min="5634" max="5634" width="9.19921875" customWidth="1"/>
    <col min="5635" max="5635" width="18.19921875" customWidth="1"/>
    <col min="5636" max="5636" width="25" customWidth="1"/>
    <col min="5889" max="5889" width="9.5" customWidth="1"/>
    <col min="5890" max="5890" width="9.19921875" customWidth="1"/>
    <col min="5891" max="5891" width="18.19921875" customWidth="1"/>
    <col min="5892" max="5892" width="25" customWidth="1"/>
    <col min="6145" max="6145" width="9.5" customWidth="1"/>
    <col min="6146" max="6146" width="9.19921875" customWidth="1"/>
    <col min="6147" max="6147" width="18.19921875" customWidth="1"/>
    <col min="6148" max="6148" width="25" customWidth="1"/>
    <col min="6401" max="6401" width="9.5" customWidth="1"/>
    <col min="6402" max="6402" width="9.19921875" customWidth="1"/>
    <col min="6403" max="6403" width="18.19921875" customWidth="1"/>
    <col min="6404" max="6404" width="25" customWidth="1"/>
    <col min="6657" max="6657" width="9.5" customWidth="1"/>
    <col min="6658" max="6658" width="9.19921875" customWidth="1"/>
    <col min="6659" max="6659" width="18.19921875" customWidth="1"/>
    <col min="6660" max="6660" width="25" customWidth="1"/>
    <col min="6913" max="6913" width="9.5" customWidth="1"/>
    <col min="6914" max="6914" width="9.19921875" customWidth="1"/>
    <col min="6915" max="6915" width="18.19921875" customWidth="1"/>
    <col min="6916" max="6916" width="25" customWidth="1"/>
    <col min="7169" max="7169" width="9.5" customWidth="1"/>
    <col min="7170" max="7170" width="9.19921875" customWidth="1"/>
    <col min="7171" max="7171" width="18.19921875" customWidth="1"/>
    <col min="7172" max="7172" width="25" customWidth="1"/>
    <col min="7425" max="7425" width="9.5" customWidth="1"/>
    <col min="7426" max="7426" width="9.19921875" customWidth="1"/>
    <col min="7427" max="7427" width="18.19921875" customWidth="1"/>
    <col min="7428" max="7428" width="25" customWidth="1"/>
    <col min="7681" max="7681" width="9.5" customWidth="1"/>
    <col min="7682" max="7682" width="9.19921875" customWidth="1"/>
    <col min="7683" max="7683" width="18.19921875" customWidth="1"/>
    <col min="7684" max="7684" width="25" customWidth="1"/>
    <col min="7937" max="7937" width="9.5" customWidth="1"/>
    <col min="7938" max="7938" width="9.19921875" customWidth="1"/>
    <col min="7939" max="7939" width="18.19921875" customWidth="1"/>
    <col min="7940" max="7940" width="25" customWidth="1"/>
    <col min="8193" max="8193" width="9.5" customWidth="1"/>
    <col min="8194" max="8194" width="9.19921875" customWidth="1"/>
    <col min="8195" max="8195" width="18.19921875" customWidth="1"/>
    <col min="8196" max="8196" width="25" customWidth="1"/>
    <col min="8449" max="8449" width="9.5" customWidth="1"/>
    <col min="8450" max="8450" width="9.19921875" customWidth="1"/>
    <col min="8451" max="8451" width="18.19921875" customWidth="1"/>
    <col min="8452" max="8452" width="25" customWidth="1"/>
    <col min="8705" max="8705" width="9.5" customWidth="1"/>
    <col min="8706" max="8706" width="9.19921875" customWidth="1"/>
    <col min="8707" max="8707" width="18.19921875" customWidth="1"/>
    <col min="8708" max="8708" width="25" customWidth="1"/>
    <col min="8961" max="8961" width="9.5" customWidth="1"/>
    <col min="8962" max="8962" width="9.19921875" customWidth="1"/>
    <col min="8963" max="8963" width="18.19921875" customWidth="1"/>
    <col min="8964" max="8964" width="25" customWidth="1"/>
    <col min="9217" max="9217" width="9.5" customWidth="1"/>
    <col min="9218" max="9218" width="9.19921875" customWidth="1"/>
    <col min="9219" max="9219" width="18.19921875" customWidth="1"/>
    <col min="9220" max="9220" width="25" customWidth="1"/>
    <col min="9473" max="9473" width="9.5" customWidth="1"/>
    <col min="9474" max="9474" width="9.19921875" customWidth="1"/>
    <col min="9475" max="9475" width="18.19921875" customWidth="1"/>
    <col min="9476" max="9476" width="25" customWidth="1"/>
    <col min="9729" max="9729" width="9.5" customWidth="1"/>
    <col min="9730" max="9730" width="9.19921875" customWidth="1"/>
    <col min="9731" max="9731" width="18.19921875" customWidth="1"/>
    <col min="9732" max="9732" width="25" customWidth="1"/>
    <col min="9985" max="9985" width="9.5" customWidth="1"/>
    <col min="9986" max="9986" width="9.19921875" customWidth="1"/>
    <col min="9987" max="9987" width="18.19921875" customWidth="1"/>
    <col min="9988" max="9988" width="25" customWidth="1"/>
    <col min="10241" max="10241" width="9.5" customWidth="1"/>
    <col min="10242" max="10242" width="9.19921875" customWidth="1"/>
    <col min="10243" max="10243" width="18.19921875" customWidth="1"/>
    <col min="10244" max="10244" width="25" customWidth="1"/>
    <col min="10497" max="10497" width="9.5" customWidth="1"/>
    <col min="10498" max="10498" width="9.19921875" customWidth="1"/>
    <col min="10499" max="10499" width="18.19921875" customWidth="1"/>
    <col min="10500" max="10500" width="25" customWidth="1"/>
    <col min="10753" max="10753" width="9.5" customWidth="1"/>
    <col min="10754" max="10754" width="9.19921875" customWidth="1"/>
    <col min="10755" max="10755" width="18.19921875" customWidth="1"/>
    <col min="10756" max="10756" width="25" customWidth="1"/>
    <col min="11009" max="11009" width="9.5" customWidth="1"/>
    <col min="11010" max="11010" width="9.19921875" customWidth="1"/>
    <col min="11011" max="11011" width="18.19921875" customWidth="1"/>
    <col min="11012" max="11012" width="25" customWidth="1"/>
    <col min="11265" max="11265" width="9.5" customWidth="1"/>
    <col min="11266" max="11266" width="9.19921875" customWidth="1"/>
    <col min="11267" max="11267" width="18.19921875" customWidth="1"/>
    <col min="11268" max="11268" width="25" customWidth="1"/>
    <col min="11521" max="11521" width="9.5" customWidth="1"/>
    <col min="11522" max="11522" width="9.19921875" customWidth="1"/>
    <col min="11523" max="11523" width="18.19921875" customWidth="1"/>
    <col min="11524" max="11524" width="25" customWidth="1"/>
    <col min="11777" max="11777" width="9.5" customWidth="1"/>
    <col min="11778" max="11778" width="9.19921875" customWidth="1"/>
    <col min="11779" max="11779" width="18.19921875" customWidth="1"/>
    <col min="11780" max="11780" width="25" customWidth="1"/>
    <col min="12033" max="12033" width="9.5" customWidth="1"/>
    <col min="12034" max="12034" width="9.19921875" customWidth="1"/>
    <col min="12035" max="12035" width="18.19921875" customWidth="1"/>
    <col min="12036" max="12036" width="25" customWidth="1"/>
    <col min="12289" max="12289" width="9.5" customWidth="1"/>
    <col min="12290" max="12290" width="9.19921875" customWidth="1"/>
    <col min="12291" max="12291" width="18.19921875" customWidth="1"/>
    <col min="12292" max="12292" width="25" customWidth="1"/>
    <col min="12545" max="12545" width="9.5" customWidth="1"/>
    <col min="12546" max="12546" width="9.19921875" customWidth="1"/>
    <col min="12547" max="12547" width="18.19921875" customWidth="1"/>
    <col min="12548" max="12548" width="25" customWidth="1"/>
    <col min="12801" max="12801" width="9.5" customWidth="1"/>
    <col min="12802" max="12802" width="9.19921875" customWidth="1"/>
    <col min="12803" max="12803" width="18.19921875" customWidth="1"/>
    <col min="12804" max="12804" width="25" customWidth="1"/>
    <col min="13057" max="13057" width="9.5" customWidth="1"/>
    <col min="13058" max="13058" width="9.19921875" customWidth="1"/>
    <col min="13059" max="13059" width="18.19921875" customWidth="1"/>
    <col min="13060" max="13060" width="25" customWidth="1"/>
    <col min="13313" max="13313" width="9.5" customWidth="1"/>
    <col min="13314" max="13314" width="9.19921875" customWidth="1"/>
    <col min="13315" max="13315" width="18.19921875" customWidth="1"/>
    <col min="13316" max="13316" width="25" customWidth="1"/>
    <col min="13569" max="13569" width="9.5" customWidth="1"/>
    <col min="13570" max="13570" width="9.19921875" customWidth="1"/>
    <col min="13571" max="13571" width="18.19921875" customWidth="1"/>
    <col min="13572" max="13572" width="25" customWidth="1"/>
    <col min="13825" max="13825" width="9.5" customWidth="1"/>
    <col min="13826" max="13826" width="9.19921875" customWidth="1"/>
    <col min="13827" max="13827" width="18.19921875" customWidth="1"/>
    <col min="13828" max="13828" width="25" customWidth="1"/>
    <col min="14081" max="14081" width="9.5" customWidth="1"/>
    <col min="14082" max="14082" width="9.19921875" customWidth="1"/>
    <col min="14083" max="14083" width="18.19921875" customWidth="1"/>
    <col min="14084" max="14084" width="25" customWidth="1"/>
    <col min="14337" max="14337" width="9.5" customWidth="1"/>
    <col min="14338" max="14338" width="9.19921875" customWidth="1"/>
    <col min="14339" max="14339" width="18.19921875" customWidth="1"/>
    <col min="14340" max="14340" width="25" customWidth="1"/>
    <col min="14593" max="14593" width="9.5" customWidth="1"/>
    <col min="14594" max="14594" width="9.19921875" customWidth="1"/>
    <col min="14595" max="14595" width="18.19921875" customWidth="1"/>
    <col min="14596" max="14596" width="25" customWidth="1"/>
    <col min="14849" max="14849" width="9.5" customWidth="1"/>
    <col min="14850" max="14850" width="9.19921875" customWidth="1"/>
    <col min="14851" max="14851" width="18.19921875" customWidth="1"/>
    <col min="14852" max="14852" width="25" customWidth="1"/>
    <col min="15105" max="15105" width="9.5" customWidth="1"/>
    <col min="15106" max="15106" width="9.19921875" customWidth="1"/>
    <col min="15107" max="15107" width="18.19921875" customWidth="1"/>
    <col min="15108" max="15108" width="25" customWidth="1"/>
    <col min="15361" max="15361" width="9.5" customWidth="1"/>
    <col min="15362" max="15362" width="9.19921875" customWidth="1"/>
    <col min="15363" max="15363" width="18.19921875" customWidth="1"/>
    <col min="15364" max="15364" width="25" customWidth="1"/>
    <col min="15617" max="15617" width="9.5" customWidth="1"/>
    <col min="15618" max="15618" width="9.19921875" customWidth="1"/>
    <col min="15619" max="15619" width="18.19921875" customWidth="1"/>
    <col min="15620" max="15620" width="25" customWidth="1"/>
    <col min="15873" max="15873" width="9.5" customWidth="1"/>
    <col min="15874" max="15874" width="9.19921875" customWidth="1"/>
    <col min="15875" max="15875" width="18.19921875" customWidth="1"/>
    <col min="15876" max="15876" width="25" customWidth="1"/>
    <col min="16129" max="16129" width="9.5" customWidth="1"/>
    <col min="16130" max="16130" width="9.19921875" customWidth="1"/>
    <col min="16131" max="16131" width="18.19921875" customWidth="1"/>
    <col min="16132" max="16132" width="25" customWidth="1"/>
  </cols>
  <sheetData>
    <row r="1" spans="1:7" ht="21">
      <c r="A1" s="1" t="s">
        <v>0</v>
      </c>
    </row>
    <row r="2" spans="1:7">
      <c r="A2" s="2"/>
    </row>
    <row r="3" spans="1:7" ht="21">
      <c r="A3" s="3"/>
    </row>
    <row r="4" spans="1:7" ht="21">
      <c r="A4" s="1" t="s">
        <v>65</v>
      </c>
    </row>
    <row r="5" spans="1:7" ht="21">
      <c r="A5" s="1"/>
    </row>
    <row r="6" spans="1:7" ht="21">
      <c r="A6" s="347" t="s">
        <v>1</v>
      </c>
      <c r="B6" s="348"/>
      <c r="C6" s="348"/>
      <c r="D6" s="349"/>
      <c r="F6" s="321" t="s">
        <v>2</v>
      </c>
      <c r="G6" s="322"/>
    </row>
    <row r="7" spans="1:7">
      <c r="A7" s="257" t="s">
        <v>3</v>
      </c>
      <c r="B7" s="263"/>
      <c r="C7" s="263"/>
      <c r="D7" s="295">
        <f>Data!D8</f>
        <v>2011</v>
      </c>
      <c r="F7" s="6" t="s">
        <v>4</v>
      </c>
      <c r="G7" s="7">
        <f>D13</f>
        <v>96363372.650000006</v>
      </c>
    </row>
    <row r="8" spans="1:7">
      <c r="A8" s="257" t="s">
        <v>5</v>
      </c>
      <c r="B8" s="263"/>
      <c r="C8" s="263"/>
      <c r="D8" s="296">
        <f>Data!F8</f>
        <v>2.5000000000000001E-3</v>
      </c>
      <c r="F8" s="6" t="s">
        <v>6</v>
      </c>
      <c r="G8" s="9">
        <f>D33*-1</f>
        <v>100142512.95719221</v>
      </c>
    </row>
    <row r="9" spans="1:7">
      <c r="A9" s="257" t="s">
        <v>7</v>
      </c>
      <c r="B9" s="263"/>
      <c r="C9" s="263"/>
      <c r="D9" s="260">
        <f>Data!G8</f>
        <v>4</v>
      </c>
      <c r="F9" s="11" t="s">
        <v>8</v>
      </c>
      <c r="G9" s="12">
        <f>D37*-1</f>
        <v>66202635.442816846</v>
      </c>
    </row>
    <row r="10" spans="1:7">
      <c r="A10" s="257" t="s">
        <v>9</v>
      </c>
      <c r="B10" s="263"/>
      <c r="C10" s="263"/>
      <c r="D10" s="260">
        <f>Data!E8</f>
        <v>19</v>
      </c>
    </row>
    <row r="11" spans="1:7">
      <c r="A11" s="257" t="s">
        <v>10</v>
      </c>
      <c r="B11" s="263"/>
      <c r="C11" s="263"/>
      <c r="D11" s="260">
        <v>2</v>
      </c>
      <c r="F11" s="321" t="s">
        <v>11</v>
      </c>
      <c r="G11" s="322"/>
    </row>
    <row r="12" spans="1:7">
      <c r="A12" s="257" t="s">
        <v>12</v>
      </c>
      <c r="B12" s="263"/>
      <c r="C12" s="263"/>
      <c r="D12" s="260">
        <f>(D10-D9)*2</f>
        <v>30</v>
      </c>
      <c r="F12" s="6" t="s">
        <v>4</v>
      </c>
      <c r="G12" s="7">
        <f>D13</f>
        <v>96363372.650000006</v>
      </c>
    </row>
    <row r="13" spans="1:7">
      <c r="A13" s="257" t="s">
        <v>259</v>
      </c>
      <c r="B13" s="263"/>
      <c r="C13" s="263"/>
      <c r="D13" s="297">
        <f>Data!B8</f>
        <v>96363372.650000006</v>
      </c>
      <c r="F13" s="6" t="s">
        <v>31</v>
      </c>
      <c r="G13" s="9">
        <f>D24</f>
        <v>74519864.4062673</v>
      </c>
    </row>
    <row r="14" spans="1:7">
      <c r="A14" s="298" t="s">
        <v>15</v>
      </c>
      <c r="B14" s="261"/>
      <c r="C14" s="261"/>
      <c r="D14" s="299">
        <v>3.6600000000000001E-2</v>
      </c>
      <c r="F14" s="6" t="s">
        <v>6</v>
      </c>
      <c r="G14" s="9">
        <f>(D44+D53+D62)*-1</f>
        <v>120153624.34062389</v>
      </c>
    </row>
    <row r="15" spans="1:7">
      <c r="A15" s="263"/>
      <c r="B15" s="263"/>
      <c r="C15" s="263"/>
      <c r="D15" s="263"/>
      <c r="E15" s="16"/>
      <c r="F15" s="11" t="s">
        <v>8</v>
      </c>
      <c r="G15" s="12">
        <f>(D48+D57+D66)*-1</f>
        <v>69418902.630641207</v>
      </c>
    </row>
    <row r="16" spans="1:7" ht="20.399999999999999">
      <c r="A16" s="350" t="s">
        <v>16</v>
      </c>
      <c r="B16" s="351"/>
      <c r="C16" s="351"/>
      <c r="D16" s="352"/>
      <c r="E16" s="16"/>
      <c r="F16" s="16"/>
    </row>
    <row r="17" spans="1:80">
      <c r="A17" s="257" t="s">
        <v>17</v>
      </c>
      <c r="B17" s="263"/>
      <c r="C17" s="263"/>
      <c r="D17" s="300">
        <f>Data!H8</f>
        <v>2019</v>
      </c>
      <c r="E17" s="16"/>
      <c r="F17" s="323" t="s">
        <v>109</v>
      </c>
      <c r="G17" s="324"/>
      <c r="H17" s="120"/>
    </row>
    <row r="18" spans="1:80">
      <c r="A18" s="257" t="s">
        <v>5</v>
      </c>
      <c r="B18" s="263"/>
      <c r="C18" s="263"/>
      <c r="D18" s="259">
        <f>Data!N8</f>
        <v>1.4999999999999999E-2</v>
      </c>
      <c r="E18" s="16"/>
      <c r="F18" s="121" t="s">
        <v>44</v>
      </c>
      <c r="G18" s="118" t="s">
        <v>45</v>
      </c>
      <c r="H18" s="58"/>
    </row>
    <row r="19" spans="1:80">
      <c r="A19" s="257" t="s">
        <v>7</v>
      </c>
      <c r="B19" s="263"/>
      <c r="C19" s="263"/>
      <c r="D19" s="260">
        <f>Data!O8</f>
        <v>4</v>
      </c>
      <c r="E19" s="16"/>
      <c r="F19" s="119">
        <f>(1-((D8/D11)/D25))*(1-(((1/((1+D25)^(D11*D9)))-(1/((1+D25)^(D11*D10))))/(D25*(D11*D10-D11*D9))))</f>
        <v>0.40223376150929058</v>
      </c>
      <c r="G19" s="122">
        <f>(1-((D18/D21)/D25))*(1-(((1/((1+D25)^(D21*D19)))-(1/((1+D25)^(D21*D20))))/(D25*(D21*D20-D21*D19))))</f>
        <v>0.39913732195457152</v>
      </c>
    </row>
    <row r="20" spans="1:80">
      <c r="A20" s="257" t="s">
        <v>9</v>
      </c>
      <c r="B20" s="263"/>
      <c r="C20" s="263"/>
      <c r="D20" s="260">
        <f>Data!M8</f>
        <v>34</v>
      </c>
      <c r="E20" s="16"/>
      <c r="F20" s="16"/>
    </row>
    <row r="21" spans="1:80">
      <c r="A21" s="257" t="s">
        <v>10</v>
      </c>
      <c r="B21" s="263"/>
      <c r="C21" s="263"/>
      <c r="D21" s="260">
        <v>2</v>
      </c>
      <c r="E21" s="16"/>
      <c r="F21" s="16"/>
    </row>
    <row r="22" spans="1:80">
      <c r="A22" s="257" t="s">
        <v>12</v>
      </c>
      <c r="B22" s="263"/>
      <c r="C22" s="263"/>
      <c r="D22" s="260">
        <f>(D20-D19)*2</f>
        <v>60</v>
      </c>
      <c r="E22" s="16"/>
      <c r="F22" s="16"/>
    </row>
    <row r="23" spans="1:80">
      <c r="A23" s="257" t="s">
        <v>42</v>
      </c>
      <c r="B23" s="263"/>
      <c r="C23" s="263"/>
      <c r="D23" s="309">
        <f>D22-'ROC - Outstanding Balances'!O46-6</f>
        <v>47</v>
      </c>
      <c r="E23" s="16"/>
      <c r="F23" s="16"/>
    </row>
    <row r="24" spans="1:80">
      <c r="A24" s="257" t="s">
        <v>260</v>
      </c>
      <c r="B24" s="263"/>
      <c r="C24" s="263"/>
      <c r="D24" s="301">
        <f>Data!L8</f>
        <v>74519864.4062673</v>
      </c>
      <c r="E24" s="16"/>
      <c r="F24" s="16"/>
    </row>
    <row r="25" spans="1:80">
      <c r="A25" s="196" t="s">
        <v>187</v>
      </c>
      <c r="B25" s="14"/>
      <c r="C25" s="14"/>
      <c r="D25" s="195">
        <f>(1.05^0.5)-1</f>
        <v>2.4695076595959931E-2</v>
      </c>
      <c r="E25" s="16"/>
      <c r="F25" s="16"/>
    </row>
    <row r="26" spans="1:80" s="19" customFormat="1" ht="46.8">
      <c r="A26" s="302" t="s">
        <v>43</v>
      </c>
      <c r="E26" s="20"/>
      <c r="F26" s="51"/>
      <c r="L26" s="21" t="s">
        <v>19</v>
      </c>
      <c r="N26" s="51"/>
      <c r="R26" s="21" t="s">
        <v>20</v>
      </c>
      <c r="T26" s="51"/>
      <c r="AA26" s="21" t="s">
        <v>21</v>
      </c>
      <c r="AD26" s="51"/>
      <c r="AI26" s="51"/>
      <c r="BE26" s="51"/>
      <c r="BH26" s="51"/>
      <c r="BM26" s="21" t="s">
        <v>22</v>
      </c>
    </row>
    <row r="27" spans="1:80">
      <c r="A27" s="262" t="s">
        <v>23</v>
      </c>
      <c r="D27" s="2"/>
      <c r="E27" s="23" t="s">
        <v>86</v>
      </c>
      <c r="F27" s="24">
        <v>42369</v>
      </c>
      <c r="G27" s="24">
        <v>42551</v>
      </c>
      <c r="H27" s="24">
        <v>42735</v>
      </c>
      <c r="I27" s="24">
        <v>42916</v>
      </c>
      <c r="J27" s="24">
        <v>43100</v>
      </c>
      <c r="K27" s="24">
        <v>43281</v>
      </c>
      <c r="L27" s="24">
        <v>43465</v>
      </c>
      <c r="M27" s="24">
        <v>43646</v>
      </c>
      <c r="N27" s="24">
        <v>43830</v>
      </c>
      <c r="O27" s="24">
        <v>44012</v>
      </c>
      <c r="P27" s="24">
        <v>44196</v>
      </c>
      <c r="Q27" s="24">
        <v>44377</v>
      </c>
      <c r="R27" s="24">
        <v>44561</v>
      </c>
      <c r="S27" s="24">
        <v>44742</v>
      </c>
      <c r="T27" s="24">
        <v>44926</v>
      </c>
      <c r="U27" s="24">
        <v>45107</v>
      </c>
      <c r="V27" s="24">
        <v>45291</v>
      </c>
      <c r="W27" s="24">
        <v>45473</v>
      </c>
      <c r="X27" s="24">
        <v>45657</v>
      </c>
      <c r="Y27" s="24">
        <v>45838</v>
      </c>
      <c r="Z27" s="24">
        <v>46022</v>
      </c>
      <c r="AA27" s="24">
        <v>46203</v>
      </c>
      <c r="AB27" s="24">
        <v>46387</v>
      </c>
      <c r="AC27" s="24">
        <v>46568</v>
      </c>
      <c r="AD27" s="24">
        <v>46752</v>
      </c>
      <c r="AE27" s="24">
        <v>46934</v>
      </c>
      <c r="AF27" s="24">
        <v>47118</v>
      </c>
      <c r="AG27" s="24">
        <v>47299</v>
      </c>
      <c r="AH27" s="24">
        <v>47483</v>
      </c>
      <c r="AI27" s="24">
        <v>47664</v>
      </c>
      <c r="AJ27" s="24">
        <v>47848</v>
      </c>
      <c r="AK27" s="24">
        <v>48029</v>
      </c>
      <c r="AL27" s="24">
        <v>48213</v>
      </c>
      <c r="AM27" s="24">
        <v>48395</v>
      </c>
      <c r="AN27" s="24">
        <v>48579</v>
      </c>
      <c r="AO27" s="24">
        <v>48760</v>
      </c>
      <c r="AP27" s="24">
        <v>48944</v>
      </c>
      <c r="AQ27" s="24">
        <v>49125</v>
      </c>
      <c r="AR27" s="24">
        <v>49309</v>
      </c>
      <c r="AS27" s="24">
        <v>49490</v>
      </c>
      <c r="AT27" s="24">
        <v>49674</v>
      </c>
      <c r="AU27" s="24">
        <v>49856</v>
      </c>
      <c r="AV27" s="24">
        <v>50040</v>
      </c>
      <c r="AW27" s="24">
        <v>50221</v>
      </c>
      <c r="AX27" s="24">
        <v>50405</v>
      </c>
      <c r="AY27" s="24">
        <v>50586</v>
      </c>
      <c r="AZ27" s="24">
        <v>50770</v>
      </c>
      <c r="BA27" s="24">
        <v>50951</v>
      </c>
      <c r="BB27" s="24">
        <v>51135</v>
      </c>
      <c r="BC27" s="24">
        <v>51317</v>
      </c>
      <c r="BD27" s="24">
        <v>51501</v>
      </c>
      <c r="BE27" s="24">
        <v>51682</v>
      </c>
      <c r="BF27" s="24">
        <v>51866</v>
      </c>
      <c r="BG27" s="24">
        <v>52047</v>
      </c>
      <c r="BH27" s="24">
        <v>52231</v>
      </c>
      <c r="BI27" s="24">
        <v>52412</v>
      </c>
      <c r="BJ27" s="24">
        <v>52596</v>
      </c>
      <c r="BK27" s="24">
        <v>52778</v>
      </c>
      <c r="BL27" s="24">
        <v>52962</v>
      </c>
      <c r="BM27" s="24">
        <v>53143</v>
      </c>
      <c r="BN27" s="24"/>
      <c r="BO27" s="24"/>
      <c r="BP27" s="24"/>
      <c r="BQ27" s="24"/>
      <c r="BR27" s="24"/>
      <c r="BS27" s="24"/>
      <c r="BT27" s="24"/>
      <c r="BU27" s="24"/>
      <c r="BV27" s="24"/>
      <c r="BW27" s="24"/>
      <c r="BX27" s="24"/>
      <c r="BY27" s="24"/>
      <c r="BZ27" s="24"/>
      <c r="CA27" s="24"/>
      <c r="CB27" s="24"/>
    </row>
    <row r="28" spans="1:80">
      <c r="A28" s="262" t="s">
        <v>38</v>
      </c>
      <c r="D28" s="2"/>
      <c r="E28" s="23"/>
      <c r="F28" s="54">
        <f>(D9*2)+1</f>
        <v>9</v>
      </c>
      <c r="G28" s="54">
        <f>F28+1</f>
        <v>10</v>
      </c>
      <c r="H28" s="54">
        <f t="shared" ref="H28:BE28" si="0">G28+1</f>
        <v>11</v>
      </c>
      <c r="I28" s="54">
        <f t="shared" si="0"/>
        <v>12</v>
      </c>
      <c r="J28" s="54">
        <f t="shared" si="0"/>
        <v>13</v>
      </c>
      <c r="K28" s="54">
        <f t="shared" si="0"/>
        <v>14</v>
      </c>
      <c r="L28" s="54">
        <f t="shared" si="0"/>
        <v>15</v>
      </c>
      <c r="M28" s="54">
        <f t="shared" si="0"/>
        <v>16</v>
      </c>
      <c r="N28" s="54">
        <f t="shared" si="0"/>
        <v>17</v>
      </c>
      <c r="O28" s="54">
        <f t="shared" si="0"/>
        <v>18</v>
      </c>
      <c r="P28" s="54">
        <f t="shared" si="0"/>
        <v>19</v>
      </c>
      <c r="Q28" s="54">
        <f t="shared" si="0"/>
        <v>20</v>
      </c>
      <c r="R28" s="54">
        <f t="shared" si="0"/>
        <v>21</v>
      </c>
      <c r="S28" s="54">
        <f t="shared" si="0"/>
        <v>22</v>
      </c>
      <c r="T28" s="54">
        <f t="shared" si="0"/>
        <v>23</v>
      </c>
      <c r="U28" s="54">
        <f t="shared" si="0"/>
        <v>24</v>
      </c>
      <c r="V28" s="54">
        <f t="shared" si="0"/>
        <v>25</v>
      </c>
      <c r="W28" s="54">
        <f t="shared" si="0"/>
        <v>26</v>
      </c>
      <c r="X28" s="54">
        <f t="shared" si="0"/>
        <v>27</v>
      </c>
      <c r="Y28" s="54">
        <f t="shared" si="0"/>
        <v>28</v>
      </c>
      <c r="Z28" s="54">
        <f t="shared" si="0"/>
        <v>29</v>
      </c>
      <c r="AA28" s="54">
        <f t="shared" si="0"/>
        <v>30</v>
      </c>
      <c r="AB28" s="54">
        <f t="shared" si="0"/>
        <v>31</v>
      </c>
      <c r="AC28" s="54">
        <f t="shared" si="0"/>
        <v>32</v>
      </c>
      <c r="AD28" s="54">
        <f t="shared" si="0"/>
        <v>33</v>
      </c>
      <c r="AE28" s="54">
        <f t="shared" si="0"/>
        <v>34</v>
      </c>
      <c r="AF28" s="54">
        <f t="shared" si="0"/>
        <v>35</v>
      </c>
      <c r="AG28" s="54">
        <f t="shared" si="0"/>
        <v>36</v>
      </c>
      <c r="AH28" s="54">
        <f t="shared" si="0"/>
        <v>37</v>
      </c>
      <c r="AI28" s="54">
        <f t="shared" si="0"/>
        <v>38</v>
      </c>
      <c r="AJ28" s="54">
        <f t="shared" si="0"/>
        <v>39</v>
      </c>
      <c r="AK28" s="54">
        <f t="shared" si="0"/>
        <v>40</v>
      </c>
      <c r="AL28" s="54">
        <f t="shared" si="0"/>
        <v>41</v>
      </c>
      <c r="AM28" s="54">
        <f t="shared" si="0"/>
        <v>42</v>
      </c>
      <c r="AN28" s="54">
        <f t="shared" si="0"/>
        <v>43</v>
      </c>
      <c r="AO28" s="54">
        <f t="shared" si="0"/>
        <v>44</v>
      </c>
      <c r="AP28" s="54">
        <f t="shared" si="0"/>
        <v>45</v>
      </c>
      <c r="AQ28" s="54">
        <f t="shared" si="0"/>
        <v>46</v>
      </c>
      <c r="AR28" s="54">
        <f t="shared" si="0"/>
        <v>47</v>
      </c>
      <c r="AS28" s="54">
        <f t="shared" si="0"/>
        <v>48</v>
      </c>
      <c r="AT28" s="54">
        <f t="shared" si="0"/>
        <v>49</v>
      </c>
      <c r="AU28" s="54">
        <f t="shared" si="0"/>
        <v>50</v>
      </c>
      <c r="AV28" s="54">
        <f t="shared" si="0"/>
        <v>51</v>
      </c>
      <c r="AW28" s="54">
        <f t="shared" si="0"/>
        <v>52</v>
      </c>
      <c r="AX28" s="54">
        <f t="shared" si="0"/>
        <v>53</v>
      </c>
      <c r="AY28" s="54">
        <f t="shared" si="0"/>
        <v>54</v>
      </c>
      <c r="AZ28" s="54">
        <f t="shared" si="0"/>
        <v>55</v>
      </c>
      <c r="BA28" s="54">
        <f t="shared" si="0"/>
        <v>56</v>
      </c>
      <c r="BB28" s="54">
        <f t="shared" si="0"/>
        <v>57</v>
      </c>
      <c r="BC28" s="54">
        <f t="shared" si="0"/>
        <v>58</v>
      </c>
      <c r="BD28" s="54">
        <f t="shared" si="0"/>
        <v>59</v>
      </c>
      <c r="BE28" s="54">
        <f t="shared" si="0"/>
        <v>60</v>
      </c>
      <c r="BF28" s="54">
        <f t="shared" ref="BF28" si="1">BE28+1</f>
        <v>61</v>
      </c>
      <c r="BG28" s="54">
        <f t="shared" ref="BG28" si="2">BF28+1</f>
        <v>62</v>
      </c>
      <c r="BH28" s="54">
        <f t="shared" ref="BH28" si="3">BG28+1</f>
        <v>63</v>
      </c>
      <c r="BI28" s="54">
        <f t="shared" ref="BI28" si="4">BH28+1</f>
        <v>64</v>
      </c>
      <c r="BJ28" s="54">
        <f t="shared" ref="BJ28" si="5">BI28+1</f>
        <v>65</v>
      </c>
      <c r="BK28" s="54">
        <f t="shared" ref="BK28" si="6">BJ28+1</f>
        <v>66</v>
      </c>
      <c r="BL28" s="54">
        <f t="shared" ref="BL28" si="7">BK28+1</f>
        <v>67</v>
      </c>
      <c r="BM28" s="54">
        <f t="shared" ref="BM28" si="8">BL28+1</f>
        <v>68</v>
      </c>
      <c r="BN28" s="54"/>
      <c r="BO28" s="54"/>
      <c r="BP28" s="54"/>
      <c r="BQ28" s="54"/>
      <c r="BR28" s="54"/>
      <c r="BS28" s="54"/>
      <c r="BT28" s="54"/>
      <c r="BU28" s="54"/>
      <c r="BV28" s="54"/>
      <c r="BW28" s="54"/>
      <c r="BX28" s="54"/>
      <c r="BY28" s="54"/>
      <c r="BZ28" s="54"/>
      <c r="CA28" s="54"/>
      <c r="CB28" s="54"/>
    </row>
    <row r="29" spans="1:80">
      <c r="A29" s="2" t="s">
        <v>26</v>
      </c>
      <c r="E29" s="25"/>
      <c r="F29" s="25">
        <f>1/(1+($D14/$D11))^F28</f>
        <v>0.84941183166687628</v>
      </c>
      <c r="G29" s="25">
        <f t="shared" ref="G29:BM29" si="9">1/(1+($D14/$D11))^G28</f>
        <v>0.83414694261698541</v>
      </c>
      <c r="H29" s="25">
        <f t="shared" si="9"/>
        <v>0.81915638084747666</v>
      </c>
      <c r="I29" s="25">
        <f t="shared" si="9"/>
        <v>0.80443521638758386</v>
      </c>
      <c r="J29" s="25">
        <f t="shared" si="9"/>
        <v>0.78997860786367857</v>
      </c>
      <c r="K29" s="25">
        <f t="shared" si="9"/>
        <v>0.77578180090707904</v>
      </c>
      <c r="L29" s="25">
        <f t="shared" si="9"/>
        <v>0.7618401265904734</v>
      </c>
      <c r="M29" s="25">
        <f t="shared" si="9"/>
        <v>0.74814899989244188</v>
      </c>
      <c r="N29" s="25">
        <f t="shared" si="9"/>
        <v>0.7347039181895727</v>
      </c>
      <c r="O29" s="25">
        <f t="shared" si="9"/>
        <v>0.72150045977567778</v>
      </c>
      <c r="P29" s="25">
        <f t="shared" si="9"/>
        <v>0.7085342824076184</v>
      </c>
      <c r="Q29" s="25">
        <f t="shared" si="9"/>
        <v>0.69580112187726451</v>
      </c>
      <c r="R29" s="25">
        <f t="shared" si="9"/>
        <v>0.68329679060911752</v>
      </c>
      <c r="S29" s="25">
        <f t="shared" si="9"/>
        <v>0.67101717628313617</v>
      </c>
      <c r="T29" s="25">
        <f t="shared" si="9"/>
        <v>0.65895824048231</v>
      </c>
      <c r="U29" s="25">
        <f t="shared" si="9"/>
        <v>0.64711601736453894</v>
      </c>
      <c r="V29" s="25">
        <f t="shared" si="9"/>
        <v>0.63548661235838066</v>
      </c>
      <c r="W29" s="25">
        <f t="shared" si="9"/>
        <v>0.62406620088223574</v>
      </c>
      <c r="X29" s="25">
        <f t="shared" si="9"/>
        <v>0.61285102708655192</v>
      </c>
      <c r="Y29" s="25">
        <f t="shared" si="9"/>
        <v>0.60183740261863095</v>
      </c>
      <c r="Z29" s="25">
        <f t="shared" si="9"/>
        <v>0.59102170540963461</v>
      </c>
      <c r="AA29" s="25">
        <f t="shared" si="9"/>
        <v>0.58040037848338866</v>
      </c>
      <c r="AB29" s="25">
        <f t="shared" si="9"/>
        <v>0.56996992878659392</v>
      </c>
      <c r="AC29" s="25">
        <f t="shared" si="9"/>
        <v>0.55972692604006091</v>
      </c>
      <c r="AD29" s="25">
        <f t="shared" si="9"/>
        <v>0.54966800161058715</v>
      </c>
      <c r="AE29" s="25">
        <f t="shared" si="9"/>
        <v>0.53978984740311031</v>
      </c>
      <c r="AF29" s="25">
        <f t="shared" si="9"/>
        <v>0.5300892147727686</v>
      </c>
      <c r="AG29" s="25">
        <f t="shared" si="9"/>
        <v>0.52056291345651451</v>
      </c>
      <c r="AH29" s="25">
        <f t="shared" si="9"/>
        <v>0.5112078105239265</v>
      </c>
      <c r="AI29" s="25">
        <f t="shared" si="9"/>
        <v>0.50202082934687875</v>
      </c>
      <c r="AJ29" s="25">
        <f t="shared" si="9"/>
        <v>0.49299894858772336</v>
      </c>
      <c r="AK29" s="25">
        <f t="shared" si="9"/>
        <v>0.4841392012056599</v>
      </c>
      <c r="AL29" s="25">
        <f t="shared" si="9"/>
        <v>0.47543867348095836</v>
      </c>
      <c r="AM29" s="25">
        <f t="shared" si="9"/>
        <v>0.46689450405672034</v>
      </c>
      <c r="AN29" s="25">
        <f t="shared" si="9"/>
        <v>0.4585038829978596</v>
      </c>
      <c r="AO29" s="25">
        <f t="shared" si="9"/>
        <v>0.45026405086699356</v>
      </c>
      <c r="AP29" s="25">
        <f t="shared" si="9"/>
        <v>0.4421722978169435</v>
      </c>
      <c r="AQ29" s="25">
        <f t="shared" si="9"/>
        <v>0.43422596269954189</v>
      </c>
      <c r="AR29" s="25">
        <f t="shared" si="9"/>
        <v>0.42642243219045656</v>
      </c>
      <c r="AS29" s="25">
        <f t="shared" si="9"/>
        <v>0.4187591399297424</v>
      </c>
      <c r="AT29" s="25">
        <f t="shared" si="9"/>
        <v>0.41123356567783798</v>
      </c>
      <c r="AU29" s="25">
        <f t="shared" si="9"/>
        <v>0.40384323448673076</v>
      </c>
      <c r="AV29" s="25">
        <f t="shared" si="9"/>
        <v>0.39658571588601665</v>
      </c>
      <c r="AW29" s="25">
        <f t="shared" si="9"/>
        <v>0.38945862308358709</v>
      </c>
      <c r="AX29" s="25">
        <f t="shared" si="9"/>
        <v>0.38245961218068059</v>
      </c>
      <c r="AY29" s="25">
        <f t="shared" si="9"/>
        <v>0.3755863814010415</v>
      </c>
      <c r="AZ29" s="25">
        <f t="shared" si="9"/>
        <v>0.36883667033393064</v>
      </c>
      <c r="BA29" s="25">
        <f t="shared" si="9"/>
        <v>0.36220825919074012</v>
      </c>
      <c r="BB29" s="25">
        <f t="shared" si="9"/>
        <v>0.35569896807496815</v>
      </c>
      <c r="BC29" s="25">
        <f t="shared" si="9"/>
        <v>0.34930665626531299</v>
      </c>
      <c r="BD29" s="25">
        <f t="shared" si="9"/>
        <v>0.34302922151164977</v>
      </c>
      <c r="BE29" s="25">
        <f t="shared" si="9"/>
        <v>0.33686459934366081</v>
      </c>
      <c r="BF29" s="25">
        <f t="shared" si="9"/>
        <v>0.33081076239188922</v>
      </c>
      <c r="BG29" s="25">
        <f t="shared" si="9"/>
        <v>0.32486571972099509</v>
      </c>
      <c r="BH29" s="25">
        <f t="shared" si="9"/>
        <v>0.31902751617499264</v>
      </c>
      <c r="BI29" s="25">
        <f t="shared" si="9"/>
        <v>0.31329423173425586</v>
      </c>
      <c r="BJ29" s="25">
        <f t="shared" si="9"/>
        <v>0.3076639808840772</v>
      </c>
      <c r="BK29" s="25">
        <f t="shared" si="9"/>
        <v>0.30213491199457648</v>
      </c>
      <c r="BL29" s="25">
        <f t="shared" si="9"/>
        <v>0.29670520671175143</v>
      </c>
      <c r="BM29" s="25">
        <f t="shared" si="9"/>
        <v>0.2913730793594731</v>
      </c>
      <c r="BN29" s="25"/>
      <c r="BO29" s="25"/>
      <c r="BP29" s="25"/>
      <c r="BQ29" s="25"/>
      <c r="BR29" s="25"/>
      <c r="BS29" s="25"/>
      <c r="BT29" s="25"/>
      <c r="BU29" s="25"/>
      <c r="BV29" s="25"/>
      <c r="BW29" s="25"/>
      <c r="BX29" s="25"/>
      <c r="BY29" s="25"/>
      <c r="BZ29" s="25"/>
      <c r="CA29" s="25"/>
      <c r="CB29" s="25"/>
    </row>
    <row r="30" spans="1:80">
      <c r="A30" s="26"/>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1:80" s="32" customFormat="1" ht="21">
      <c r="A31" s="29" t="s">
        <v>27</v>
      </c>
      <c r="B31" s="30"/>
      <c r="C31" s="30"/>
      <c r="D31" s="30"/>
      <c r="E31" s="31"/>
      <c r="F31" s="31"/>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row>
    <row r="32" spans="1:80">
      <c r="A32" s="262" t="s">
        <v>24</v>
      </c>
      <c r="D32" s="2"/>
      <c r="E32" s="23" t="s">
        <v>25</v>
      </c>
      <c r="F32">
        <v>1</v>
      </c>
      <c r="G32">
        <v>2</v>
      </c>
      <c r="H32">
        <v>3</v>
      </c>
      <c r="I32">
        <v>4</v>
      </c>
      <c r="J32">
        <v>5</v>
      </c>
      <c r="K32">
        <v>6</v>
      </c>
      <c r="L32">
        <v>7</v>
      </c>
      <c r="M32">
        <v>8</v>
      </c>
      <c r="N32">
        <v>9</v>
      </c>
      <c r="O32">
        <v>10</v>
      </c>
      <c r="P32">
        <v>11</v>
      </c>
      <c r="Q32">
        <v>12</v>
      </c>
      <c r="R32">
        <v>13</v>
      </c>
      <c r="S32">
        <v>14</v>
      </c>
      <c r="T32">
        <v>15</v>
      </c>
      <c r="U32">
        <v>16</v>
      </c>
      <c r="V32">
        <v>17</v>
      </c>
      <c r="W32">
        <v>18</v>
      </c>
      <c r="X32">
        <v>19</v>
      </c>
      <c r="Y32">
        <v>20</v>
      </c>
      <c r="Z32">
        <v>21</v>
      </c>
      <c r="AA32">
        <v>22</v>
      </c>
      <c r="AB32">
        <v>23</v>
      </c>
      <c r="AC32">
        <v>24</v>
      </c>
      <c r="AD32">
        <v>25</v>
      </c>
      <c r="AE32">
        <v>26</v>
      </c>
      <c r="AF32">
        <v>27</v>
      </c>
      <c r="AG32">
        <v>28</v>
      </c>
      <c r="AH32">
        <v>29</v>
      </c>
      <c r="AI32">
        <v>30</v>
      </c>
      <c r="BI32" s="23"/>
      <c r="BJ32" s="24"/>
      <c r="BK32" s="23"/>
      <c r="BL32" s="24"/>
      <c r="BM32" s="23"/>
      <c r="BN32" s="24"/>
      <c r="BO32" s="23"/>
      <c r="BP32" s="24"/>
      <c r="BQ32" s="23"/>
      <c r="BR32" s="24"/>
      <c r="BS32" s="23"/>
      <c r="BT32" s="24"/>
      <c r="BU32" s="23"/>
      <c r="BV32" s="24"/>
      <c r="BW32" s="23"/>
    </row>
    <row r="33" spans="1:75">
      <c r="A33" s="27"/>
      <c r="B33" s="26" t="s">
        <v>28</v>
      </c>
      <c r="C33" s="27"/>
      <c r="D33" s="27">
        <f>SUM(E33:CC33)</f>
        <v>-100142512.95719221</v>
      </c>
      <c r="E33" s="27"/>
      <c r="F33" s="27">
        <f t="shared" ref="F33:AI33" si="10">PMT($D$8,$D$12,$D$13)</f>
        <v>-3338083.7652397379</v>
      </c>
      <c r="G33" s="27">
        <f t="shared" si="10"/>
        <v>-3338083.7652397379</v>
      </c>
      <c r="H33" s="27">
        <f t="shared" si="10"/>
        <v>-3338083.7652397379</v>
      </c>
      <c r="I33" s="27">
        <f t="shared" si="10"/>
        <v>-3338083.7652397379</v>
      </c>
      <c r="J33" s="27">
        <f t="shared" si="10"/>
        <v>-3338083.7652397379</v>
      </c>
      <c r="K33" s="27">
        <f t="shared" si="10"/>
        <v>-3338083.7652397379</v>
      </c>
      <c r="L33" s="27">
        <f t="shared" si="10"/>
        <v>-3338083.7652397379</v>
      </c>
      <c r="M33" s="27">
        <f t="shared" si="10"/>
        <v>-3338083.7652397379</v>
      </c>
      <c r="N33" s="27">
        <f t="shared" si="10"/>
        <v>-3338083.7652397379</v>
      </c>
      <c r="O33" s="27">
        <f t="shared" si="10"/>
        <v>-3338083.7652397379</v>
      </c>
      <c r="P33" s="27">
        <f t="shared" si="10"/>
        <v>-3338083.7652397379</v>
      </c>
      <c r="Q33" s="27">
        <f t="shared" si="10"/>
        <v>-3338083.7652397379</v>
      </c>
      <c r="R33" s="27">
        <f t="shared" si="10"/>
        <v>-3338083.7652397379</v>
      </c>
      <c r="S33" s="27">
        <f t="shared" si="10"/>
        <v>-3338083.7652397379</v>
      </c>
      <c r="T33" s="27">
        <f t="shared" si="10"/>
        <v>-3338083.7652397379</v>
      </c>
      <c r="U33" s="27">
        <f t="shared" si="10"/>
        <v>-3338083.7652397379</v>
      </c>
      <c r="V33" s="27">
        <f t="shared" si="10"/>
        <v>-3338083.7652397379</v>
      </c>
      <c r="W33" s="27">
        <f t="shared" si="10"/>
        <v>-3338083.7652397379</v>
      </c>
      <c r="X33" s="27">
        <f t="shared" si="10"/>
        <v>-3338083.7652397379</v>
      </c>
      <c r="Y33" s="27">
        <f t="shared" si="10"/>
        <v>-3338083.7652397379</v>
      </c>
      <c r="Z33" s="27">
        <f t="shared" si="10"/>
        <v>-3338083.7652397379</v>
      </c>
      <c r="AA33" s="27">
        <f t="shared" si="10"/>
        <v>-3338083.7652397379</v>
      </c>
      <c r="AB33" s="27">
        <f t="shared" si="10"/>
        <v>-3338083.7652397379</v>
      </c>
      <c r="AC33" s="27">
        <f t="shared" si="10"/>
        <v>-3338083.7652397379</v>
      </c>
      <c r="AD33" s="27">
        <f t="shared" si="10"/>
        <v>-3338083.7652397379</v>
      </c>
      <c r="AE33" s="27">
        <f t="shared" si="10"/>
        <v>-3338083.7652397379</v>
      </c>
      <c r="AF33" s="27">
        <f t="shared" si="10"/>
        <v>-3338083.7652397379</v>
      </c>
      <c r="AG33" s="27">
        <f t="shared" si="10"/>
        <v>-3338083.7652397379</v>
      </c>
      <c r="AH33" s="27">
        <f t="shared" si="10"/>
        <v>-3338083.7652397379</v>
      </c>
      <c r="AI33" s="27">
        <f t="shared" si="10"/>
        <v>-3338083.7652397379</v>
      </c>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75">
      <c r="A34" s="27"/>
      <c r="B34" s="27"/>
      <c r="C34" s="27" t="s">
        <v>29</v>
      </c>
      <c r="D34" s="27">
        <f t="shared" ref="D34:D60" si="11">SUM(E34:CC34)</f>
        <v>-96363372.650000006</v>
      </c>
      <c r="E34" s="27"/>
      <c r="F34" s="27">
        <f t="shared" ref="F34:AI34" si="12">PPMT($D$8,F32,$D$12,$D$13)</f>
        <v>-3097175.3336147382</v>
      </c>
      <c r="G34" s="27">
        <f t="shared" si="12"/>
        <v>-3104918.2719487743</v>
      </c>
      <c r="H34" s="27">
        <f t="shared" si="12"/>
        <v>-3112680.5676286467</v>
      </c>
      <c r="I34" s="27">
        <f t="shared" si="12"/>
        <v>-3120462.269047718</v>
      </c>
      <c r="J34" s="27">
        <f t="shared" si="12"/>
        <v>-3128263.4247203376</v>
      </c>
      <c r="K34" s="27">
        <f t="shared" si="12"/>
        <v>-3136084.0832821382</v>
      </c>
      <c r="L34" s="27">
        <f t="shared" si="12"/>
        <v>-3143924.2934903437</v>
      </c>
      <c r="M34" s="27">
        <f t="shared" si="12"/>
        <v>-3151784.104224069</v>
      </c>
      <c r="N34" s="27">
        <f t="shared" si="12"/>
        <v>-3159663.5644846298</v>
      </c>
      <c r="O34" s="27">
        <f t="shared" si="12"/>
        <v>-3167562.7233958412</v>
      </c>
      <c r="P34" s="27">
        <f t="shared" si="12"/>
        <v>-3175481.6302043307</v>
      </c>
      <c r="Q34" s="27">
        <f t="shared" si="12"/>
        <v>-3183420.3342798413</v>
      </c>
      <c r="R34" s="27">
        <f t="shared" si="12"/>
        <v>-3191378.8851155415</v>
      </c>
      <c r="S34" s="27">
        <f t="shared" si="12"/>
        <v>-3199357.3323283303</v>
      </c>
      <c r="T34" s="27">
        <f t="shared" si="12"/>
        <v>-3207355.7256591511</v>
      </c>
      <c r="U34" s="27">
        <f t="shared" si="12"/>
        <v>-3215374.1149732992</v>
      </c>
      <c r="V34" s="27">
        <f t="shared" si="12"/>
        <v>-3223412.5502607324</v>
      </c>
      <c r="W34" s="27">
        <f t="shared" si="12"/>
        <v>-3231471.0816363837</v>
      </c>
      <c r="X34" s="27">
        <f t="shared" si="12"/>
        <v>-3239549.7593404748</v>
      </c>
      <c r="Y34" s="27">
        <f t="shared" si="12"/>
        <v>-3247648.633738826</v>
      </c>
      <c r="Z34" s="27">
        <f t="shared" si="12"/>
        <v>-3255767.755323173</v>
      </c>
      <c r="AA34" s="27">
        <f t="shared" si="12"/>
        <v>-3263907.1747114807</v>
      </c>
      <c r="AB34" s="27">
        <f t="shared" si="12"/>
        <v>-3272066.9426482595</v>
      </c>
      <c r="AC34" s="27">
        <f t="shared" si="12"/>
        <v>-3280247.1100048805</v>
      </c>
      <c r="AD34" s="27">
        <f t="shared" si="12"/>
        <v>-3288447.7277798927</v>
      </c>
      <c r="AE34" s="27">
        <f t="shared" si="12"/>
        <v>-3296668.8470993424</v>
      </c>
      <c r="AF34" s="27">
        <f t="shared" si="12"/>
        <v>-3304910.5192170907</v>
      </c>
      <c r="AG34" s="27">
        <f t="shared" si="12"/>
        <v>-3313172.7955151331</v>
      </c>
      <c r="AH34" s="27">
        <f t="shared" si="12"/>
        <v>-3321455.7275039209</v>
      </c>
      <c r="AI34" s="27">
        <f t="shared" si="12"/>
        <v>-3329759.3668226809</v>
      </c>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75">
      <c r="A35" s="27"/>
      <c r="B35" s="27"/>
      <c r="C35" s="27" t="s">
        <v>30</v>
      </c>
      <c r="D35" s="27">
        <f t="shared" si="11"/>
        <v>-3779140.3071921305</v>
      </c>
      <c r="E35" s="27"/>
      <c r="F35" s="27">
        <f t="shared" ref="F35:AI35" si="13">IPMT($D$8,F32,$D$12,$D13)</f>
        <v>-240908.43162499997</v>
      </c>
      <c r="G35" s="27">
        <f t="shared" si="13"/>
        <v>-233165.49329096318</v>
      </c>
      <c r="H35" s="27">
        <f t="shared" si="13"/>
        <v>-225403.19761109125</v>
      </c>
      <c r="I35" s="27">
        <f t="shared" si="13"/>
        <v>-217621.49619201967</v>
      </c>
      <c r="J35" s="27">
        <f t="shared" si="13"/>
        <v>-209820.34051940034</v>
      </c>
      <c r="K35" s="27">
        <f t="shared" si="13"/>
        <v>-201999.68195759947</v>
      </c>
      <c r="L35" s="27">
        <f t="shared" si="13"/>
        <v>-194159.47174939414</v>
      </c>
      <c r="M35" s="27">
        <f t="shared" si="13"/>
        <v>-186299.6610156683</v>
      </c>
      <c r="N35" s="27">
        <f t="shared" si="13"/>
        <v>-178420.20075510812</v>
      </c>
      <c r="O35" s="27">
        <f t="shared" si="13"/>
        <v>-170521.04184389656</v>
      </c>
      <c r="P35" s="27">
        <f t="shared" si="13"/>
        <v>-162602.13503540694</v>
      </c>
      <c r="Q35" s="27">
        <f t="shared" si="13"/>
        <v>-154663.4309598961</v>
      </c>
      <c r="R35" s="27">
        <f t="shared" si="13"/>
        <v>-146704.8801241965</v>
      </c>
      <c r="S35" s="27">
        <f t="shared" si="13"/>
        <v>-138726.43291140764</v>
      </c>
      <c r="T35" s="27">
        <f t="shared" si="13"/>
        <v>-130728.03958058682</v>
      </c>
      <c r="U35" s="27">
        <f t="shared" si="13"/>
        <v>-122709.65026643893</v>
      </c>
      <c r="V35" s="27">
        <f t="shared" si="13"/>
        <v>-114671.2149790057</v>
      </c>
      <c r="W35" s="27">
        <f t="shared" si="13"/>
        <v>-106612.68360335386</v>
      </c>
      <c r="X35" s="27">
        <f t="shared" si="13"/>
        <v>-98534.005899262891</v>
      </c>
      <c r="Y35" s="27">
        <f t="shared" si="13"/>
        <v>-90435.131500911695</v>
      </c>
      <c r="Z35" s="27">
        <f t="shared" si="13"/>
        <v>-82316.009916564653</v>
      </c>
      <c r="AA35" s="27">
        <f t="shared" si="13"/>
        <v>-74176.590528256696</v>
      </c>
      <c r="AB35" s="27">
        <f t="shared" si="13"/>
        <v>-66016.822591478005</v>
      </c>
      <c r="AC35" s="27">
        <f t="shared" si="13"/>
        <v>-57836.65523485736</v>
      </c>
      <c r="AD35" s="27">
        <f t="shared" si="13"/>
        <v>-49636.03745984516</v>
      </c>
      <c r="AE35" s="27">
        <f t="shared" si="13"/>
        <v>-41414.918140395421</v>
      </c>
      <c r="AF35" s="27">
        <f t="shared" si="13"/>
        <v>-33173.246022647065</v>
      </c>
      <c r="AG35" s="27">
        <f t="shared" si="13"/>
        <v>-24910.969724604343</v>
      </c>
      <c r="AH35" s="27">
        <f t="shared" si="13"/>
        <v>-16628.037735816502</v>
      </c>
      <c r="AI35" s="27">
        <f t="shared" si="13"/>
        <v>-8324.3984170567037</v>
      </c>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row>
    <row r="36" spans="1:75">
      <c r="A36" s="27"/>
      <c r="B36" s="33" t="s">
        <v>31</v>
      </c>
      <c r="C36" s="33"/>
      <c r="D36" s="27"/>
      <c r="E36" s="34">
        <f>D13</f>
        <v>96363372.650000006</v>
      </c>
      <c r="F36" s="34">
        <f>E36+F34</f>
        <v>93266197.316385269</v>
      </c>
      <c r="G36" s="34">
        <f t="shared" ref="G36:AI36" si="14">F$36+G$34</f>
        <v>90161279.044436499</v>
      </c>
      <c r="H36" s="34">
        <f t="shared" si="14"/>
        <v>87048598.476807848</v>
      </c>
      <c r="I36" s="34">
        <f t="shared" si="14"/>
        <v>83928136.207760125</v>
      </c>
      <c r="J36" s="34">
        <f t="shared" si="14"/>
        <v>80799872.783039793</v>
      </c>
      <c r="K36" s="34">
        <f t="shared" si="14"/>
        <v>77663788.69975765</v>
      </c>
      <c r="L36" s="34">
        <f t="shared" si="14"/>
        <v>74519864.4062673</v>
      </c>
      <c r="M36" s="34">
        <f t="shared" si="14"/>
        <v>71368080.302043229</v>
      </c>
      <c r="N36" s="34">
        <f t="shared" si="14"/>
        <v>68208416.737558603</v>
      </c>
      <c r="O36" s="34">
        <f t="shared" si="14"/>
        <v>65040854.014162764</v>
      </c>
      <c r="P36" s="34">
        <f t="shared" si="14"/>
        <v>61865372.383958437</v>
      </c>
      <c r="Q36" s="34">
        <f t="shared" si="14"/>
        <v>58681952.049678594</v>
      </c>
      <c r="R36" s="34">
        <f t="shared" si="14"/>
        <v>55490573.164563052</v>
      </c>
      <c r="S36" s="34">
        <f t="shared" si="14"/>
        <v>52291215.832234725</v>
      </c>
      <c r="T36" s="34">
        <f t="shared" si="14"/>
        <v>49083860.106575571</v>
      </c>
      <c r="U36" s="34">
        <f t="shared" si="14"/>
        <v>45868485.991602272</v>
      </c>
      <c r="V36" s="34">
        <f t="shared" si="14"/>
        <v>42645073.441341542</v>
      </c>
      <c r="W36" s="34">
        <f t="shared" si="14"/>
        <v>39413602.359705158</v>
      </c>
      <c r="X36" s="34">
        <f t="shared" si="14"/>
        <v>36174052.600364685</v>
      </c>
      <c r="Y36" s="34">
        <f t="shared" si="14"/>
        <v>32926403.966625858</v>
      </c>
      <c r="Z36" s="34">
        <f t="shared" si="14"/>
        <v>29670636.211302686</v>
      </c>
      <c r="AA36" s="34">
        <f t="shared" si="14"/>
        <v>26406729.036591206</v>
      </c>
      <c r="AB36" s="34">
        <f t="shared" si="14"/>
        <v>23134662.093942948</v>
      </c>
      <c r="AC36" s="34">
        <f t="shared" si="14"/>
        <v>19854414.983938068</v>
      </c>
      <c r="AD36" s="34">
        <f t="shared" si="14"/>
        <v>16565967.256158175</v>
      </c>
      <c r="AE36" s="34">
        <f t="shared" si="14"/>
        <v>13269298.409058832</v>
      </c>
      <c r="AF36" s="34">
        <f t="shared" si="14"/>
        <v>9964387.889841741</v>
      </c>
      <c r="AG36" s="34">
        <f t="shared" si="14"/>
        <v>6651215.0943266079</v>
      </c>
      <c r="AH36" s="34">
        <f t="shared" si="14"/>
        <v>3329759.366822687</v>
      </c>
      <c r="AI36" s="34">
        <f t="shared" si="14"/>
        <v>6.0535967350006104E-9</v>
      </c>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75">
      <c r="A37" s="27"/>
      <c r="B37" s="26" t="s">
        <v>32</v>
      </c>
      <c r="C37" s="27"/>
      <c r="D37" s="27">
        <f t="shared" si="11"/>
        <v>-66202635.442816846</v>
      </c>
      <c r="E37" s="34"/>
      <c r="F37" s="34">
        <f t="shared" ref="F37:AI37" si="15">F33*F29</f>
        <v>-2835407.8452897486</v>
      </c>
      <c r="G37" s="34">
        <f t="shared" si="15"/>
        <v>-2784452.3669741224</v>
      </c>
      <c r="H37" s="34">
        <f t="shared" si="15"/>
        <v>-2734412.6160995015</v>
      </c>
      <c r="I37" s="34">
        <f t="shared" si="15"/>
        <v>-2685272.1360105094</v>
      </c>
      <c r="J37" s="34">
        <f t="shared" si="15"/>
        <v>-2637014.7657964346</v>
      </c>
      <c r="K37" s="34">
        <f t="shared" si="15"/>
        <v>-2589624.634976367</v>
      </c>
      <c r="L37" s="34">
        <f t="shared" si="15"/>
        <v>-2543086.158279846</v>
      </c>
      <c r="M37" s="34">
        <f t="shared" si="15"/>
        <v>-2497384.0305213067</v>
      </c>
      <c r="N37" s="34">
        <f t="shared" si="15"/>
        <v>-2452503.221566637</v>
      </c>
      <c r="O37" s="34">
        <f t="shared" si="15"/>
        <v>-2408428.9713901966</v>
      </c>
      <c r="P37" s="34">
        <f t="shared" si="15"/>
        <v>-2365146.7852206584</v>
      </c>
      <c r="Q37" s="34">
        <f t="shared" si="15"/>
        <v>-2322642.4287740928</v>
      </c>
      <c r="R37" s="34">
        <f t="shared" si="15"/>
        <v>-2280901.9235727116</v>
      </c>
      <c r="S37" s="34">
        <f t="shared" si="15"/>
        <v>-2239911.5423477483</v>
      </c>
      <c r="T37" s="34">
        <f t="shared" si="15"/>
        <v>-2199657.8045249418</v>
      </c>
      <c r="U37" s="34">
        <f t="shared" si="15"/>
        <v>-2160127.4717911636</v>
      </c>
      <c r="V37" s="34">
        <f t="shared" si="15"/>
        <v>-2121307.5437407093</v>
      </c>
      <c r="W37" s="34">
        <f t="shared" si="15"/>
        <v>-2083185.2535998321</v>
      </c>
      <c r="X37" s="34">
        <f t="shared" si="15"/>
        <v>-2045748.0640281178</v>
      </c>
      <c r="Y37" s="34">
        <f t="shared" si="15"/>
        <v>-2008983.6629953037</v>
      </c>
      <c r="Z37" s="34">
        <f t="shared" si="15"/>
        <v>-1972879.9597322042</v>
      </c>
      <c r="AA37" s="34">
        <f t="shared" si="15"/>
        <v>-1937425.0807543991</v>
      </c>
      <c r="AB37" s="34">
        <f t="shared" si="15"/>
        <v>-1902607.3659573786</v>
      </c>
      <c r="AC37" s="34">
        <f t="shared" si="15"/>
        <v>-1868415.3647818707</v>
      </c>
      <c r="AD37" s="34">
        <f t="shared" si="15"/>
        <v>-1834837.8324480711</v>
      </c>
      <c r="AE37" s="34">
        <f t="shared" si="15"/>
        <v>-1801863.726257558</v>
      </c>
      <c r="AF37" s="34">
        <f t="shared" si="15"/>
        <v>-1769482.2019616596</v>
      </c>
      <c r="AG37" s="34">
        <f t="shared" si="15"/>
        <v>-1737682.6101950898</v>
      </c>
      <c r="AH37" s="34">
        <f t="shared" si="15"/>
        <v>-1706454.4929736711</v>
      </c>
      <c r="AI37" s="34">
        <f t="shared" si="15"/>
        <v>-1675787.580255005</v>
      </c>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75">
      <c r="A38" s="27"/>
      <c r="B38" s="27"/>
      <c r="C38" s="27" t="s">
        <v>29</v>
      </c>
      <c r="D38" s="27">
        <f t="shared" si="11"/>
        <v>-63489431.569129169</v>
      </c>
      <c r="E38" s="34"/>
      <c r="F38" s="34">
        <f t="shared" ref="F38:AI38" si="16">F34*F29</f>
        <v>-2630777.3731191633</v>
      </c>
      <c r="G38" s="34">
        <f t="shared" si="16"/>
        <v>-2589958.083621684</v>
      </c>
      <c r="H38" s="34">
        <f t="shared" si="16"/>
        <v>-2549772.1485129516</v>
      </c>
      <c r="I38" s="34">
        <f t="shared" si="16"/>
        <v>-2510209.7406306919</v>
      </c>
      <c r="J38" s="34">
        <f t="shared" si="16"/>
        <v>-2471261.1852914356</v>
      </c>
      <c r="K38" s="34">
        <f t="shared" si="16"/>
        <v>-2432916.9579246431</v>
      </c>
      <c r="L38" s="34">
        <f t="shared" si="16"/>
        <v>-2395167.6817435483</v>
      </c>
      <c r="M38" s="34">
        <f t="shared" si="16"/>
        <v>-2358004.1254521329</v>
      </c>
      <c r="N38" s="34">
        <f t="shared" si="16"/>
        <v>-2321417.2009876892</v>
      </c>
      <c r="O38" s="34">
        <f t="shared" si="16"/>
        <v>-2285397.9612983973</v>
      </c>
      <c r="P38" s="34">
        <f t="shared" si="16"/>
        <v>-2249937.5981553998</v>
      </c>
      <c r="Q38" s="34">
        <f t="shared" si="16"/>
        <v>-2215027.4399988102</v>
      </c>
      <c r="R38" s="34">
        <f t="shared" si="16"/>
        <v>-2180658.9498171532</v>
      </c>
      <c r="S38" s="34">
        <f t="shared" si="16"/>
        <v>-2146823.7230597036</v>
      </c>
      <c r="T38" s="34">
        <f t="shared" si="16"/>
        <v>-2113513.4855812169</v>
      </c>
      <c r="U38" s="34">
        <f t="shared" si="16"/>
        <v>-2080720.0916185505</v>
      </c>
      <c r="V38" s="34">
        <f t="shared" si="16"/>
        <v>-2048435.5217986812</v>
      </c>
      <c r="W38" s="34">
        <f t="shared" si="16"/>
        <v>-2016651.881177627</v>
      </c>
      <c r="X38" s="34">
        <f t="shared" si="16"/>
        <v>-1985361.397309802</v>
      </c>
      <c r="Y38" s="34">
        <f t="shared" si="16"/>
        <v>-1954556.4183473205</v>
      </c>
      <c r="Z38" s="34">
        <f t="shared" si="16"/>
        <v>-1924229.4111687997</v>
      </c>
      <c r="AA38" s="34">
        <f t="shared" si="16"/>
        <v>-1894372.9595371911</v>
      </c>
      <c r="AB38" s="34">
        <f t="shared" si="16"/>
        <v>-1864979.7622861965</v>
      </c>
      <c r="AC38" s="34">
        <f t="shared" si="16"/>
        <v>-1836042.6315348253</v>
      </c>
      <c r="AD38" s="34">
        <f t="shared" si="16"/>
        <v>-1807554.4909296497</v>
      </c>
      <c r="AE38" s="34">
        <f t="shared" si="16"/>
        <v>-1779508.3739143417</v>
      </c>
      <c r="AF38" s="34">
        <f t="shared" si="16"/>
        <v>-1751897.4220260505</v>
      </c>
      <c r="AG38" s="34">
        <f t="shared" si="16"/>
        <v>-1724714.8832182225</v>
      </c>
      <c r="AH38" s="34">
        <f t="shared" si="16"/>
        <v>-1697954.1102094348</v>
      </c>
      <c r="AI38" s="34">
        <f t="shared" si="16"/>
        <v>-1671608.55885786</v>
      </c>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75">
      <c r="A39" s="27"/>
      <c r="B39" s="27"/>
      <c r="C39" s="27" t="s">
        <v>30</v>
      </c>
      <c r="D39" s="27">
        <f t="shared" si="11"/>
        <v>-2713203.8736876799</v>
      </c>
      <c r="E39" s="34"/>
      <c r="F39" s="34">
        <f t="shared" ref="F39:AI39" si="17">F35*F29</f>
        <v>-204630.47217058565</v>
      </c>
      <c r="G39" s="34">
        <f t="shared" si="17"/>
        <v>-194494.28335243816</v>
      </c>
      <c r="H39" s="34">
        <f t="shared" si="17"/>
        <v>-184640.4675865501</v>
      </c>
      <c r="I39" s="34">
        <f t="shared" si="17"/>
        <v>-175062.39537981708</v>
      </c>
      <c r="J39" s="34">
        <f t="shared" si="17"/>
        <v>-165753.58050499888</v>
      </c>
      <c r="K39" s="34">
        <f t="shared" si="17"/>
        <v>-156707.67705172373</v>
      </c>
      <c r="L39" s="34">
        <f t="shared" si="17"/>
        <v>-147918.47653629788</v>
      </c>
      <c r="M39" s="34">
        <f t="shared" si="17"/>
        <v>-139379.9050691732</v>
      </c>
      <c r="N39" s="34">
        <f t="shared" si="17"/>
        <v>-131086.02057894808</v>
      </c>
      <c r="O39" s="34">
        <f t="shared" si="17"/>
        <v>-123031.01009179896</v>
      </c>
      <c r="P39" s="34">
        <f t="shared" si="17"/>
        <v>-115209.18706525872</v>
      </c>
      <c r="Q39" s="34">
        <f t="shared" si="17"/>
        <v>-107614.98877528255</v>
      </c>
      <c r="R39" s="34">
        <f t="shared" si="17"/>
        <v>-100242.97375555878</v>
      </c>
      <c r="S39" s="34">
        <f t="shared" si="17"/>
        <v>-93087.819288044688</v>
      </c>
      <c r="T39" s="34">
        <f t="shared" si="17"/>
        <v>-86144.318943725273</v>
      </c>
      <c r="U39" s="34">
        <f t="shared" si="17"/>
        <v>-79407.380172613397</v>
      </c>
      <c r="V39" s="34">
        <f t="shared" si="17"/>
        <v>-72872.021942027932</v>
      </c>
      <c r="W39" s="34">
        <f t="shared" si="17"/>
        <v>-66533.372422204862</v>
      </c>
      <c r="X39" s="34">
        <f t="shared" si="17"/>
        <v>-60386.666718315631</v>
      </c>
      <c r="Y39" s="34">
        <f t="shared" si="17"/>
        <v>-54427.244647983025</v>
      </c>
      <c r="Z39" s="34">
        <f t="shared" si="17"/>
        <v>-48650.548563404438</v>
      </c>
      <c r="AA39" s="34">
        <f t="shared" si="17"/>
        <v>-43052.121217207532</v>
      </c>
      <c r="AB39" s="34">
        <f t="shared" si="17"/>
        <v>-37627.603671181925</v>
      </c>
      <c r="AC39" s="34">
        <f t="shared" si="17"/>
        <v>-32372.733247045508</v>
      </c>
      <c r="AD39" s="34">
        <f t="shared" si="17"/>
        <v>-27283.341518421334</v>
      </c>
      <c r="AE39" s="34">
        <f t="shared" si="17"/>
        <v>-22355.352343216349</v>
      </c>
      <c r="AF39" s="34">
        <f t="shared" si="17"/>
        <v>-17584.779935608851</v>
      </c>
      <c r="AG39" s="34">
        <f t="shared" si="17"/>
        <v>-12967.726976867063</v>
      </c>
      <c r="AH39" s="34">
        <f t="shared" si="17"/>
        <v>-8500.3827642359829</v>
      </c>
      <c r="AI39" s="34">
        <f t="shared" si="17"/>
        <v>-4179.021397144651</v>
      </c>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75">
      <c r="A40" s="26"/>
      <c r="B40" s="27"/>
      <c r="C40" s="27"/>
      <c r="D40" s="27">
        <f t="shared" si="11"/>
        <v>0</v>
      </c>
      <c r="E40" s="35"/>
      <c r="F40" s="35"/>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75" s="32" customFormat="1" ht="21">
      <c r="A41" s="29" t="s">
        <v>33</v>
      </c>
      <c r="B41" s="30"/>
      <c r="C41" s="30"/>
      <c r="D41" s="30">
        <f t="shared" si="11"/>
        <v>0</v>
      </c>
      <c r="E41" s="31"/>
      <c r="F41" s="31"/>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row>
    <row r="42" spans="1:75" s="40" customFormat="1">
      <c r="A42" s="36" t="s">
        <v>34</v>
      </c>
      <c r="B42" s="37"/>
      <c r="C42" s="38"/>
      <c r="D42" s="37">
        <f t="shared" si="11"/>
        <v>0</v>
      </c>
      <c r="E42" s="38"/>
      <c r="F42" s="38"/>
      <c r="G42" s="39"/>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75">
      <c r="A43" s="262" t="s">
        <v>24</v>
      </c>
      <c r="D43" s="2"/>
      <c r="E43" s="23" t="s">
        <v>25</v>
      </c>
      <c r="F43">
        <v>1</v>
      </c>
      <c r="G43">
        <v>2</v>
      </c>
      <c r="H43">
        <v>3</v>
      </c>
      <c r="I43">
        <v>4</v>
      </c>
      <c r="J43">
        <v>5</v>
      </c>
      <c r="K43">
        <v>6</v>
      </c>
      <c r="L43">
        <v>7</v>
      </c>
      <c r="BI43" s="23"/>
      <c r="BJ43" s="24"/>
      <c r="BK43" s="23"/>
      <c r="BL43" s="24"/>
      <c r="BM43" s="23"/>
      <c r="BN43" s="24"/>
      <c r="BO43" s="23"/>
      <c r="BP43" s="24"/>
      <c r="BQ43" s="23"/>
      <c r="BR43" s="24"/>
      <c r="BS43" s="23"/>
      <c r="BT43" s="24"/>
      <c r="BU43" s="23"/>
      <c r="BV43" s="24"/>
      <c r="BW43" s="23"/>
    </row>
    <row r="44" spans="1:75">
      <c r="A44" s="41"/>
      <c r="B44" s="26" t="s">
        <v>28</v>
      </c>
      <c r="C44" s="27"/>
      <c r="D44" s="27">
        <f t="shared" si="11"/>
        <v>-23366586.356678165</v>
      </c>
      <c r="E44" s="34"/>
      <c r="F44" s="34">
        <f t="shared" ref="F44:L44" si="18">PMT($D$8,$D$12,$D$13)</f>
        <v>-3338083.7652397379</v>
      </c>
      <c r="G44" s="34">
        <f t="shared" si="18"/>
        <v>-3338083.7652397379</v>
      </c>
      <c r="H44" s="34">
        <f t="shared" si="18"/>
        <v>-3338083.7652397379</v>
      </c>
      <c r="I44" s="34">
        <f t="shared" si="18"/>
        <v>-3338083.7652397379</v>
      </c>
      <c r="J44" s="34">
        <f t="shared" si="18"/>
        <v>-3338083.7652397379</v>
      </c>
      <c r="K44" s="34">
        <f t="shared" si="18"/>
        <v>-3338083.7652397379</v>
      </c>
      <c r="L44" s="34">
        <f t="shared" si="18"/>
        <v>-3338083.7652397379</v>
      </c>
      <c r="M44" s="34"/>
      <c r="N44" s="34"/>
      <c r="O44" s="34"/>
      <c r="P44" s="34"/>
      <c r="Q44" s="34"/>
      <c r="R44" s="34"/>
      <c r="S44" s="34"/>
      <c r="T44" s="34"/>
      <c r="U44" s="34"/>
      <c r="V44" s="34"/>
      <c r="W44" s="34"/>
      <c r="X44" s="34"/>
      <c r="Y44" s="34"/>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row>
    <row r="45" spans="1:75">
      <c r="A45" s="41"/>
      <c r="B45" s="27"/>
      <c r="C45" s="27" t="s">
        <v>29</v>
      </c>
      <c r="D45" s="27">
        <f t="shared" si="11"/>
        <v>-21843508.243732695</v>
      </c>
      <c r="E45" s="34"/>
      <c r="F45" s="34">
        <f>PPMT($D$8,F43, $D$12,$D$13)</f>
        <v>-3097175.3336147382</v>
      </c>
      <c r="G45" s="34">
        <f t="shared" ref="G45:L45" si="19">PPMT($D$8,G43, $D$12,$D$13)</f>
        <v>-3104918.2719487743</v>
      </c>
      <c r="H45" s="34">
        <f t="shared" si="19"/>
        <v>-3112680.5676286467</v>
      </c>
      <c r="I45" s="34">
        <f t="shared" si="19"/>
        <v>-3120462.269047718</v>
      </c>
      <c r="J45" s="34">
        <f t="shared" si="19"/>
        <v>-3128263.4247203376</v>
      </c>
      <c r="K45" s="34">
        <f t="shared" si="19"/>
        <v>-3136084.0832821382</v>
      </c>
      <c r="L45" s="34">
        <f t="shared" si="19"/>
        <v>-3143924.2934903437</v>
      </c>
      <c r="M45" s="34"/>
      <c r="N45" s="34"/>
      <c r="O45" s="34"/>
      <c r="P45" s="34"/>
      <c r="Q45" s="34"/>
      <c r="R45" s="34"/>
      <c r="S45" s="34"/>
      <c r="T45" s="34"/>
      <c r="U45" s="34"/>
      <c r="V45" s="34"/>
      <c r="W45" s="34"/>
      <c r="X45" s="34"/>
      <c r="Y45" s="34"/>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row>
    <row r="46" spans="1:75">
      <c r="A46" s="41"/>
      <c r="B46" s="27"/>
      <c r="C46" s="27" t="s">
        <v>30</v>
      </c>
      <c r="D46" s="27">
        <f t="shared" si="11"/>
        <v>-1523078.1129454682</v>
      </c>
      <c r="E46" s="27"/>
      <c r="F46" s="34">
        <f>IPMT($D$8, F43, $D$12,$D$13)</f>
        <v>-240908.43162499997</v>
      </c>
      <c r="G46" s="34">
        <f t="shared" ref="G46:L46" si="20">IPMT($D$8, G43, $D$12,$D$13)</f>
        <v>-233165.49329096318</v>
      </c>
      <c r="H46" s="34">
        <f t="shared" si="20"/>
        <v>-225403.19761109125</v>
      </c>
      <c r="I46" s="34">
        <f t="shared" si="20"/>
        <v>-217621.49619201967</v>
      </c>
      <c r="J46" s="34">
        <f t="shared" si="20"/>
        <v>-209820.34051940034</v>
      </c>
      <c r="K46" s="34">
        <f t="shared" si="20"/>
        <v>-201999.68195759947</v>
      </c>
      <c r="L46" s="34">
        <f t="shared" si="20"/>
        <v>-194159.47174939414</v>
      </c>
      <c r="M46" s="34"/>
      <c r="N46" s="34"/>
      <c r="O46" s="34"/>
      <c r="P46" s="34"/>
      <c r="Q46" s="34"/>
      <c r="R46" s="34"/>
      <c r="S46" s="34"/>
      <c r="T46" s="34"/>
      <c r="U46" s="3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row>
    <row r="47" spans="1:75">
      <c r="A47" s="41"/>
      <c r="B47" s="33" t="s">
        <v>31</v>
      </c>
      <c r="C47" s="42"/>
      <c r="D47" s="27"/>
      <c r="E47" s="27">
        <f>D13</f>
        <v>96363372.650000006</v>
      </c>
      <c r="F47" s="27">
        <f t="shared" ref="F47" si="21">E47+F45</f>
        <v>93266197.316385269</v>
      </c>
      <c r="G47" s="27">
        <f>F47+G45</f>
        <v>90161279.044436499</v>
      </c>
      <c r="H47" s="27">
        <f t="shared" ref="H47:L47" si="22">G47+H45</f>
        <v>87048598.476807848</v>
      </c>
      <c r="I47" s="27">
        <f t="shared" si="22"/>
        <v>83928136.207760125</v>
      </c>
      <c r="J47" s="27">
        <f t="shared" si="22"/>
        <v>80799872.783039793</v>
      </c>
      <c r="K47" s="27">
        <f t="shared" si="22"/>
        <v>77663788.69975765</v>
      </c>
      <c r="L47" s="27">
        <f t="shared" si="22"/>
        <v>74519864.4062673</v>
      </c>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row>
    <row r="48" spans="1:75" ht="21">
      <c r="A48" s="43"/>
      <c r="B48" s="26" t="s">
        <v>32</v>
      </c>
      <c r="C48" s="27"/>
      <c r="D48" s="27">
        <f t="shared" si="11"/>
        <v>-18809270.523426529</v>
      </c>
      <c r="E48" s="27"/>
      <c r="F48" s="27">
        <f>F44*F29</f>
        <v>-2835407.8452897486</v>
      </c>
      <c r="G48" s="27">
        <f t="shared" ref="G48:L48" si="23">G44*G29</f>
        <v>-2784452.3669741224</v>
      </c>
      <c r="H48" s="27">
        <f t="shared" si="23"/>
        <v>-2734412.6160995015</v>
      </c>
      <c r="I48" s="27">
        <f t="shared" si="23"/>
        <v>-2685272.1360105094</v>
      </c>
      <c r="J48" s="27">
        <f t="shared" si="23"/>
        <v>-2637014.7657964346</v>
      </c>
      <c r="K48" s="27">
        <f t="shared" si="23"/>
        <v>-2589624.634976367</v>
      </c>
      <c r="L48" s="27">
        <f t="shared" si="23"/>
        <v>-2543086.158279846</v>
      </c>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row>
    <row r="49" spans="1:75">
      <c r="A49" s="27"/>
      <c r="B49" s="27"/>
      <c r="C49" s="27" t="s">
        <v>29</v>
      </c>
      <c r="D49" s="27">
        <f t="shared" si="11"/>
        <v>-17580063.170844119</v>
      </c>
      <c r="E49" s="27"/>
      <c r="F49" s="27">
        <f t="shared" ref="F49:L49" si="24">F45*F29</f>
        <v>-2630777.3731191633</v>
      </c>
      <c r="G49" s="27">
        <f t="shared" si="24"/>
        <v>-2589958.083621684</v>
      </c>
      <c r="H49" s="27">
        <f t="shared" si="24"/>
        <v>-2549772.1485129516</v>
      </c>
      <c r="I49" s="27">
        <f t="shared" si="24"/>
        <v>-2510209.7406306919</v>
      </c>
      <c r="J49" s="27">
        <f t="shared" si="24"/>
        <v>-2471261.1852914356</v>
      </c>
      <c r="K49" s="27">
        <f t="shared" si="24"/>
        <v>-2432916.9579246431</v>
      </c>
      <c r="L49" s="27">
        <f t="shared" si="24"/>
        <v>-2395167.6817435483</v>
      </c>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row>
    <row r="50" spans="1:75">
      <c r="A50" s="27"/>
      <c r="B50" s="27"/>
      <c r="C50" s="27" t="s">
        <v>30</v>
      </c>
      <c r="D50" s="27">
        <f t="shared" si="11"/>
        <v>-1229207.3525824116</v>
      </c>
      <c r="E50" s="27"/>
      <c r="F50" s="27">
        <f t="shared" ref="F50:L50" si="25">F46*F29</f>
        <v>-204630.47217058565</v>
      </c>
      <c r="G50" s="27">
        <f t="shared" si="25"/>
        <v>-194494.28335243816</v>
      </c>
      <c r="H50" s="27">
        <f t="shared" si="25"/>
        <v>-184640.4675865501</v>
      </c>
      <c r="I50" s="27">
        <f t="shared" si="25"/>
        <v>-175062.39537981708</v>
      </c>
      <c r="J50" s="27">
        <f t="shared" si="25"/>
        <v>-165753.58050499888</v>
      </c>
      <c r="K50" s="27">
        <f t="shared" si="25"/>
        <v>-156707.67705172373</v>
      </c>
      <c r="L50" s="27">
        <f t="shared" si="25"/>
        <v>-147918.47653629788</v>
      </c>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row>
    <row r="51" spans="1:75" s="40" customFormat="1">
      <c r="A51" s="36" t="s">
        <v>35</v>
      </c>
      <c r="B51" s="44"/>
      <c r="C51" s="37"/>
      <c r="D51" s="37">
        <f t="shared" si="11"/>
        <v>0</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75">
      <c r="A52" s="262" t="s">
        <v>24</v>
      </c>
      <c r="D52" s="2"/>
      <c r="E52" s="23"/>
      <c r="M52">
        <v>1</v>
      </c>
      <c r="N52">
        <v>2</v>
      </c>
      <c r="O52">
        <v>3</v>
      </c>
      <c r="P52">
        <v>4</v>
      </c>
      <c r="Q52">
        <v>5</v>
      </c>
      <c r="R52">
        <v>6</v>
      </c>
      <c r="BI52" s="23"/>
      <c r="BJ52" s="24"/>
      <c r="BK52" s="23"/>
      <c r="BL52" s="24"/>
      <c r="BM52" s="23"/>
      <c r="BN52" s="24"/>
      <c r="BO52" s="23"/>
      <c r="BP52" s="24"/>
      <c r="BQ52" s="23"/>
      <c r="BR52" s="24"/>
      <c r="BS52" s="23"/>
      <c r="BT52" s="24"/>
      <c r="BU52" s="23"/>
      <c r="BV52" s="24"/>
      <c r="BW52" s="23"/>
    </row>
    <row r="53" spans="1:75">
      <c r="A53" s="41"/>
      <c r="B53" s="26" t="s">
        <v>28</v>
      </c>
      <c r="C53" s="27"/>
      <c r="D53" s="27">
        <f t="shared" si="11"/>
        <v>-25057756.651471771</v>
      </c>
      <c r="E53" s="34"/>
      <c r="F53" s="34"/>
      <c r="G53" s="34"/>
      <c r="H53" s="34"/>
      <c r="I53" s="34"/>
      <c r="J53" s="34"/>
      <c r="K53" s="34"/>
      <c r="L53" s="34"/>
      <c r="M53" s="34">
        <f>PMT($D$8,6,$D$24/3)</f>
        <v>-4176292.7752452958</v>
      </c>
      <c r="N53" s="34">
        <f>PMT($D$8,6,$D$24/3)</f>
        <v>-4176292.7752452958</v>
      </c>
      <c r="O53" s="34">
        <f t="shared" ref="O53:R53" si="26">PMT($D$8,6,$D$24/3)</f>
        <v>-4176292.7752452958</v>
      </c>
      <c r="P53" s="34">
        <f t="shared" si="26"/>
        <v>-4176292.7752452958</v>
      </c>
      <c r="Q53" s="34">
        <f t="shared" si="26"/>
        <v>-4176292.7752452958</v>
      </c>
      <c r="R53" s="34">
        <f t="shared" si="26"/>
        <v>-4176292.7752452958</v>
      </c>
      <c r="S53" s="34"/>
      <c r="T53" s="34"/>
      <c r="U53" s="34"/>
      <c r="V53" s="34"/>
      <c r="W53" s="34"/>
      <c r="X53" s="34"/>
      <c r="Y53" s="34"/>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row>
    <row r="54" spans="1:75">
      <c r="A54" s="41"/>
      <c r="B54" s="27"/>
      <c r="C54" s="27" t="s">
        <v>29</v>
      </c>
      <c r="D54" s="27">
        <f t="shared" si="11"/>
        <v>-24839954.802089095</v>
      </c>
      <c r="E54" s="34"/>
      <c r="F54" s="34"/>
      <c r="G54" s="34"/>
      <c r="H54" s="34"/>
      <c r="I54" s="34"/>
      <c r="J54" s="34"/>
      <c r="K54" s="34"/>
      <c r="L54" s="34"/>
      <c r="M54" s="34">
        <f>PPMT($D$8,M52,6,$D$24/3)</f>
        <v>-4114192.8882400733</v>
      </c>
      <c r="N54" s="34">
        <f>PPMT($D$8,N52,6,$D$24/3)</f>
        <v>-4124478.3704606737</v>
      </c>
      <c r="O54" s="34">
        <f t="shared" ref="O54:R54" si="27">PPMT($D$8,O52,6,$D$24/3)</f>
        <v>-4134789.5663868249</v>
      </c>
      <c r="P54" s="34">
        <f t="shared" si="27"/>
        <v>-4145126.5403027916</v>
      </c>
      <c r="Q54" s="34">
        <f t="shared" si="27"/>
        <v>-4155489.3566535492</v>
      </c>
      <c r="R54" s="34">
        <f t="shared" si="27"/>
        <v>-4165878.0800451827</v>
      </c>
      <c r="S54" s="34"/>
      <c r="T54" s="34"/>
      <c r="U54" s="34"/>
      <c r="V54" s="34"/>
      <c r="W54" s="34"/>
      <c r="X54" s="34"/>
      <c r="Y54" s="34"/>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row>
    <row r="55" spans="1:75">
      <c r="A55" s="41"/>
      <c r="B55" s="27"/>
      <c r="C55" s="27" t="s">
        <v>30</v>
      </c>
      <c r="D55" s="27">
        <f t="shared" si="11"/>
        <v>-217801.84938267979</v>
      </c>
      <c r="E55" s="27"/>
      <c r="F55" s="27"/>
      <c r="G55" s="34"/>
      <c r="H55" s="34"/>
      <c r="I55" s="34"/>
      <c r="J55" s="34"/>
      <c r="K55" s="34"/>
      <c r="L55" s="34"/>
      <c r="M55" s="34">
        <f>IPMT($D$8,M52,6,$D$24/3)</f>
        <v>-62099.88700522275</v>
      </c>
      <c r="N55" s="34">
        <f t="shared" ref="N55:R55" si="28">IPMT($D$8,N52,6,$D$24/3)</f>
        <v>-51814.404784622559</v>
      </c>
      <c r="O55" s="34">
        <f t="shared" si="28"/>
        <v>-41503.208858470876</v>
      </c>
      <c r="P55" s="34">
        <f t="shared" si="28"/>
        <v>-31166.234942503816</v>
      </c>
      <c r="Q55" s="34">
        <f t="shared" si="28"/>
        <v>-20803.418591746828</v>
      </c>
      <c r="R55" s="34">
        <f t="shared" si="28"/>
        <v>-10414.695200112959</v>
      </c>
      <c r="S55" s="34"/>
      <c r="T55" s="34"/>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row>
    <row r="56" spans="1:75">
      <c r="A56" s="41"/>
      <c r="B56" s="33" t="s">
        <v>31</v>
      </c>
      <c r="C56" s="42"/>
      <c r="D56" s="27"/>
      <c r="E56" s="27">
        <f>D24</f>
        <v>74519864.4062673</v>
      </c>
      <c r="F56" s="27"/>
      <c r="G56" s="27"/>
      <c r="H56" s="27"/>
      <c r="I56" s="27"/>
      <c r="J56" s="27"/>
      <c r="K56" s="27"/>
      <c r="L56" s="27"/>
      <c r="M56" s="27">
        <f>$E$56+M54</f>
        <v>70405671.518027231</v>
      </c>
      <c r="N56" s="27">
        <f>M56+N54</f>
        <v>66281193.147566557</v>
      </c>
      <c r="O56" s="27">
        <f t="shared" ref="O56" si="29">N56+O54</f>
        <v>62146403.581179731</v>
      </c>
      <c r="P56" s="27">
        <f t="shared" ref="P56" si="30">O56+P54</f>
        <v>58001277.04087694</v>
      </c>
      <c r="Q56" s="27">
        <f t="shared" ref="Q56" si="31">P56+Q54</f>
        <v>53845787.684223391</v>
      </c>
      <c r="R56" s="27">
        <f t="shared" ref="R56" si="32">Q56+R54</f>
        <v>49679909.604178205</v>
      </c>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row>
    <row r="57" spans="1:75" ht="21">
      <c r="A57" s="43"/>
      <c r="B57" s="26" t="s">
        <v>32</v>
      </c>
      <c r="C57" s="27"/>
      <c r="D57" s="27">
        <f t="shared" si="11"/>
        <v>-17924588.338939939</v>
      </c>
      <c r="E57" s="27"/>
      <c r="F57" s="27"/>
      <c r="G57" s="27"/>
      <c r="H57" s="27"/>
      <c r="I57" s="27"/>
      <c r="J57" s="27"/>
      <c r="K57" s="27"/>
      <c r="L57" s="27"/>
      <c r="M57" s="27">
        <f>M53*M$29</f>
        <v>-3124489.2630577986</v>
      </c>
      <c r="N57" s="27">
        <f>N53*N$29</f>
        <v>-3068338.6654795236</v>
      </c>
      <c r="O57" s="27">
        <f t="shared" ref="O57:R57" si="33">O53*O$29</f>
        <v>-3013197.1574973222</v>
      </c>
      <c r="P57" s="27">
        <f t="shared" si="33"/>
        <v>-2959046.6046325467</v>
      </c>
      <c r="Q57" s="27">
        <f t="shared" si="33"/>
        <v>-2905869.1983035915</v>
      </c>
      <c r="R57" s="27">
        <f t="shared" si="33"/>
        <v>-2853647.4499691552</v>
      </c>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row>
    <row r="58" spans="1:75">
      <c r="A58" s="27"/>
      <c r="B58" s="27"/>
      <c r="C58" s="27" t="s">
        <v>29</v>
      </c>
      <c r="D58" s="27">
        <f t="shared" si="11"/>
        <v>-17766441.824385308</v>
      </c>
      <c r="E58" s="27"/>
      <c r="F58" s="27"/>
      <c r="G58" s="27"/>
      <c r="H58" s="27"/>
      <c r="I58" s="27"/>
      <c r="J58" s="27"/>
      <c r="K58" s="27"/>
      <c r="L58" s="27"/>
      <c r="M58" s="27">
        <f>M54*M$29</f>
        <v>-3078029.2947014077</v>
      </c>
      <c r="N58" s="27">
        <f t="shared" ref="N58:R58" si="34">N54*N$29</f>
        <v>-3030270.4192656009</v>
      </c>
      <c r="O58" s="27">
        <f t="shared" si="34"/>
        <v>-2983252.5732237697</v>
      </c>
      <c r="P58" s="27">
        <f t="shared" si="34"/>
        <v>-2936964.2587222122</v>
      </c>
      <c r="Q58" s="27">
        <f t="shared" si="34"/>
        <v>-2891394.1563085718</v>
      </c>
      <c r="R58" s="27">
        <f t="shared" si="34"/>
        <v>-2846531.1221637456</v>
      </c>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row>
    <row r="59" spans="1:75">
      <c r="A59" s="27"/>
      <c r="B59" s="27"/>
      <c r="C59" s="27" t="s">
        <v>30</v>
      </c>
      <c r="D59" s="27">
        <f t="shared" si="11"/>
        <v>-158146.51455462983</v>
      </c>
      <c r="E59" s="27"/>
      <c r="F59" s="27"/>
      <c r="G59" s="27"/>
      <c r="H59" s="27"/>
      <c r="I59" s="27"/>
      <c r="J59" s="27"/>
      <c r="K59" s="27"/>
      <c r="L59" s="27"/>
      <c r="M59" s="27">
        <f>M55*M$29</f>
        <v>-46459.968356391051</v>
      </c>
      <c r="N59" s="27">
        <f t="shared" ref="N59:R59" si="35">N55*N$29</f>
        <v>-38068.246213922735</v>
      </c>
      <c r="O59" s="27">
        <f t="shared" si="35"/>
        <v>-29944.584273552719</v>
      </c>
      <c r="P59" s="27">
        <f t="shared" si="35"/>
        <v>-22082.345910334185</v>
      </c>
      <c r="Q59" s="27">
        <f t="shared" si="35"/>
        <v>-14475.041995019785</v>
      </c>
      <c r="R59" s="27">
        <f t="shared" si="35"/>
        <v>-7116.3278054093662</v>
      </c>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row>
    <row r="60" spans="1:75" s="40" customFormat="1">
      <c r="A60" s="36" t="s">
        <v>36</v>
      </c>
      <c r="B60" s="44"/>
      <c r="C60" s="37"/>
      <c r="D60" s="37">
        <f t="shared" si="11"/>
        <v>0</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5">
      <c r="A61" s="262" t="s">
        <v>24</v>
      </c>
      <c r="D61" s="2"/>
      <c r="E61" s="23" t="s">
        <v>25</v>
      </c>
      <c r="S61">
        <v>1</v>
      </c>
      <c r="T61">
        <v>2</v>
      </c>
      <c r="U61">
        <v>3</v>
      </c>
      <c r="V61">
        <v>4</v>
      </c>
      <c r="W61">
        <v>5</v>
      </c>
      <c r="X61">
        <v>6</v>
      </c>
      <c r="Y61">
        <v>7</v>
      </c>
      <c r="Z61">
        <v>8</v>
      </c>
      <c r="AA61">
        <v>9</v>
      </c>
      <c r="AB61">
        <v>10</v>
      </c>
      <c r="AC61">
        <v>11</v>
      </c>
      <c r="AD61">
        <v>12</v>
      </c>
      <c r="AE61">
        <v>13</v>
      </c>
      <c r="AF61">
        <v>14</v>
      </c>
      <c r="AG61">
        <v>15</v>
      </c>
      <c r="AH61">
        <v>16</v>
      </c>
      <c r="AI61">
        <v>17</v>
      </c>
      <c r="AJ61">
        <v>18</v>
      </c>
      <c r="AK61">
        <v>19</v>
      </c>
      <c r="AL61">
        <v>20</v>
      </c>
      <c r="AM61">
        <v>21</v>
      </c>
      <c r="AN61">
        <v>22</v>
      </c>
      <c r="AO61">
        <v>23</v>
      </c>
      <c r="AP61">
        <v>24</v>
      </c>
      <c r="AQ61">
        <v>25</v>
      </c>
      <c r="AR61">
        <v>26</v>
      </c>
      <c r="AS61">
        <v>27</v>
      </c>
      <c r="AT61">
        <v>28</v>
      </c>
      <c r="AU61">
        <v>29</v>
      </c>
      <c r="AV61">
        <v>30</v>
      </c>
      <c r="AW61">
        <v>31</v>
      </c>
      <c r="AX61">
        <v>32</v>
      </c>
      <c r="AY61">
        <v>33</v>
      </c>
      <c r="AZ61">
        <v>34</v>
      </c>
      <c r="BA61">
        <v>35</v>
      </c>
      <c r="BB61">
        <v>36</v>
      </c>
      <c r="BC61">
        <v>37</v>
      </c>
      <c r="BD61">
        <v>38</v>
      </c>
      <c r="BE61">
        <v>39</v>
      </c>
      <c r="BF61">
        <v>40</v>
      </c>
      <c r="BG61">
        <v>41</v>
      </c>
      <c r="BH61">
        <v>42</v>
      </c>
      <c r="BI61">
        <v>43</v>
      </c>
      <c r="BJ61">
        <v>44</v>
      </c>
      <c r="BK61">
        <v>45</v>
      </c>
      <c r="BL61">
        <v>46</v>
      </c>
      <c r="BM61">
        <v>47</v>
      </c>
      <c r="BT61" s="24"/>
      <c r="BU61" s="23"/>
    </row>
    <row r="62" spans="1:75">
      <c r="A62" s="41"/>
      <c r="B62" s="26" t="s">
        <v>28</v>
      </c>
      <c r="C62" s="27"/>
      <c r="D62" s="27">
        <f>SUM(E62:CA62)</f>
        <v>-71729281.332473949</v>
      </c>
      <c r="E62" s="34"/>
      <c r="F62" s="34"/>
      <c r="G62" s="34"/>
      <c r="H62" s="34"/>
      <c r="I62" s="34"/>
      <c r="J62" s="34"/>
      <c r="K62" s="34"/>
      <c r="L62" s="34"/>
      <c r="M62" s="34"/>
      <c r="N62" s="34"/>
      <c r="O62" s="34"/>
      <c r="P62" s="34"/>
      <c r="Q62" s="34"/>
      <c r="R62" s="34"/>
      <c r="S62" s="34">
        <f t="shared" ref="S62:BM62" si="36">PMT($D$18,$D$22-$T$32,$E$65)</f>
        <v>-1526154.9219675316</v>
      </c>
      <c r="T62" s="34">
        <f t="shared" si="36"/>
        <v>-1526154.9219675316</v>
      </c>
      <c r="U62" s="34">
        <f t="shared" si="36"/>
        <v>-1526154.9219675316</v>
      </c>
      <c r="V62" s="34">
        <f t="shared" si="36"/>
        <v>-1526154.9219675316</v>
      </c>
      <c r="W62" s="34">
        <f t="shared" si="36"/>
        <v>-1526154.9219675316</v>
      </c>
      <c r="X62" s="34">
        <f t="shared" si="36"/>
        <v>-1526154.9219675316</v>
      </c>
      <c r="Y62" s="34">
        <f t="shared" si="36"/>
        <v>-1526154.9219675316</v>
      </c>
      <c r="Z62" s="34">
        <f t="shared" si="36"/>
        <v>-1526154.9219675316</v>
      </c>
      <c r="AA62" s="34">
        <f t="shared" si="36"/>
        <v>-1526154.9219675316</v>
      </c>
      <c r="AB62" s="34">
        <f t="shared" si="36"/>
        <v>-1526154.9219675316</v>
      </c>
      <c r="AC62" s="34">
        <f t="shared" si="36"/>
        <v>-1526154.9219675316</v>
      </c>
      <c r="AD62" s="34">
        <f t="shared" si="36"/>
        <v>-1526154.9219675316</v>
      </c>
      <c r="AE62" s="34">
        <f t="shared" si="36"/>
        <v>-1526154.9219675316</v>
      </c>
      <c r="AF62" s="34">
        <f t="shared" si="36"/>
        <v>-1526154.9219675316</v>
      </c>
      <c r="AG62" s="34">
        <f t="shared" si="36"/>
        <v>-1526154.9219675316</v>
      </c>
      <c r="AH62" s="34">
        <f t="shared" si="36"/>
        <v>-1526154.9219675316</v>
      </c>
      <c r="AI62" s="34">
        <f t="shared" si="36"/>
        <v>-1526154.9219675316</v>
      </c>
      <c r="AJ62" s="34">
        <f t="shared" si="36"/>
        <v>-1526154.9219675316</v>
      </c>
      <c r="AK62" s="34">
        <f t="shared" si="36"/>
        <v>-1526154.9219675316</v>
      </c>
      <c r="AL62" s="34">
        <f t="shared" si="36"/>
        <v>-1526154.9219675316</v>
      </c>
      <c r="AM62" s="34">
        <f t="shared" si="36"/>
        <v>-1526154.9219675316</v>
      </c>
      <c r="AN62" s="34">
        <f t="shared" si="36"/>
        <v>-1526154.9219675316</v>
      </c>
      <c r="AO62" s="34">
        <f t="shared" si="36"/>
        <v>-1526154.9219675316</v>
      </c>
      <c r="AP62" s="34">
        <f t="shared" si="36"/>
        <v>-1526154.9219675316</v>
      </c>
      <c r="AQ62" s="34">
        <f t="shared" si="36"/>
        <v>-1526154.9219675316</v>
      </c>
      <c r="AR62" s="34">
        <f t="shared" si="36"/>
        <v>-1526154.9219675316</v>
      </c>
      <c r="AS62" s="34">
        <f t="shared" si="36"/>
        <v>-1526154.9219675316</v>
      </c>
      <c r="AT62" s="34">
        <f t="shared" si="36"/>
        <v>-1526154.9219675316</v>
      </c>
      <c r="AU62" s="34">
        <f t="shared" si="36"/>
        <v>-1526154.9219675316</v>
      </c>
      <c r="AV62" s="34">
        <f t="shared" si="36"/>
        <v>-1526154.9219675316</v>
      </c>
      <c r="AW62" s="34">
        <f t="shared" si="36"/>
        <v>-1526154.9219675316</v>
      </c>
      <c r="AX62" s="34">
        <f t="shared" si="36"/>
        <v>-1526154.9219675316</v>
      </c>
      <c r="AY62" s="34">
        <f t="shared" si="36"/>
        <v>-1526154.9219675316</v>
      </c>
      <c r="AZ62" s="34">
        <f t="shared" si="36"/>
        <v>-1526154.9219675316</v>
      </c>
      <c r="BA62" s="34">
        <f t="shared" si="36"/>
        <v>-1526154.9219675316</v>
      </c>
      <c r="BB62" s="34">
        <f t="shared" si="36"/>
        <v>-1526154.9219675316</v>
      </c>
      <c r="BC62" s="34">
        <f t="shared" si="36"/>
        <v>-1526154.9219675316</v>
      </c>
      <c r="BD62" s="34">
        <f t="shared" si="36"/>
        <v>-1526154.9219675316</v>
      </c>
      <c r="BE62" s="34">
        <f t="shared" si="36"/>
        <v>-1526154.9219675316</v>
      </c>
      <c r="BF62" s="34">
        <f t="shared" si="36"/>
        <v>-1526154.9219675316</v>
      </c>
      <c r="BG62" s="34">
        <f t="shared" si="36"/>
        <v>-1526154.9219675316</v>
      </c>
      <c r="BH62" s="34">
        <f t="shared" si="36"/>
        <v>-1526154.9219675316</v>
      </c>
      <c r="BI62" s="34">
        <f t="shared" si="36"/>
        <v>-1526154.9219675316</v>
      </c>
      <c r="BJ62" s="34">
        <f t="shared" si="36"/>
        <v>-1526154.9219675316</v>
      </c>
      <c r="BK62" s="34">
        <f t="shared" si="36"/>
        <v>-1526154.9219675316</v>
      </c>
      <c r="BL62" s="34">
        <f t="shared" si="36"/>
        <v>-1526154.9219675316</v>
      </c>
      <c r="BM62" s="34">
        <f t="shared" si="36"/>
        <v>-1526154.9219675316</v>
      </c>
      <c r="BN62" s="34"/>
      <c r="BO62" s="34"/>
      <c r="BP62" s="34"/>
      <c r="BQ62" s="34"/>
      <c r="BR62" s="34"/>
      <c r="BS62" s="34"/>
    </row>
    <row r="63" spans="1:75">
      <c r="A63" s="41"/>
      <c r="B63" s="27"/>
      <c r="C63" s="27" t="s">
        <v>29</v>
      </c>
      <c r="D63" s="27">
        <f>SUM(E63:CA63)</f>
        <v>-49679909.60417822</v>
      </c>
      <c r="E63" s="34"/>
      <c r="F63" s="34"/>
      <c r="G63" s="34"/>
      <c r="H63" s="34"/>
      <c r="I63" s="34"/>
      <c r="J63" s="34"/>
      <c r="K63" s="34"/>
      <c r="L63" s="34"/>
      <c r="M63" s="34"/>
      <c r="N63" s="34"/>
      <c r="O63" s="34"/>
      <c r="P63" s="34"/>
      <c r="Q63" s="34"/>
      <c r="R63" s="34"/>
      <c r="S63" s="34">
        <f t="shared" ref="S63:BM63" si="37">PPMT($D$18, S61, $D$23,$E$65)</f>
        <v>-735432.75690229994</v>
      </c>
      <c r="T63" s="34">
        <f t="shared" si="37"/>
        <v>-746464.24825583445</v>
      </c>
      <c r="U63" s="34">
        <f t="shared" si="37"/>
        <v>-757661.21197967196</v>
      </c>
      <c r="V63" s="34">
        <f t="shared" si="37"/>
        <v>-769026.13015936711</v>
      </c>
      <c r="W63" s="34">
        <f t="shared" si="37"/>
        <v>-780561.52211175754</v>
      </c>
      <c r="X63" s="34">
        <f t="shared" si="37"/>
        <v>-792269.94494343386</v>
      </c>
      <c r="Y63" s="34">
        <f t="shared" si="37"/>
        <v>-804153.99411758536</v>
      </c>
      <c r="Z63" s="34">
        <f t="shared" si="37"/>
        <v>-816216.30402934935</v>
      </c>
      <c r="AA63" s="34">
        <f t="shared" si="37"/>
        <v>-828459.54858978943</v>
      </c>
      <c r="AB63" s="34">
        <f t="shared" si="37"/>
        <v>-840886.44181863638</v>
      </c>
      <c r="AC63" s="34">
        <f t="shared" si="37"/>
        <v>-853499.73844591575</v>
      </c>
      <c r="AD63" s="34">
        <f t="shared" si="37"/>
        <v>-866302.23452260462</v>
      </c>
      <c r="AE63" s="34">
        <f t="shared" si="37"/>
        <v>-879296.76804044365</v>
      </c>
      <c r="AF63" s="34">
        <f t="shared" si="37"/>
        <v>-892486.2195610503</v>
      </c>
      <c r="AG63" s="34">
        <f t="shared" si="37"/>
        <v>-905873.5128544661</v>
      </c>
      <c r="AH63" s="34">
        <f t="shared" si="37"/>
        <v>-919461.61554728309</v>
      </c>
      <c r="AI63" s="34">
        <f t="shared" si="37"/>
        <v>-933253.53978049231</v>
      </c>
      <c r="AJ63" s="34">
        <f t="shared" si="37"/>
        <v>-947252.34287719964</v>
      </c>
      <c r="AK63" s="34">
        <f t="shared" si="37"/>
        <v>-961461.12802035781</v>
      </c>
      <c r="AL63" s="34">
        <f t="shared" si="37"/>
        <v>-975883.04494066304</v>
      </c>
      <c r="AM63" s="34">
        <f t="shared" si="37"/>
        <v>-990521.29061477294</v>
      </c>
      <c r="AN63" s="34">
        <f t="shared" si="37"/>
        <v>-1005379.1099739947</v>
      </c>
      <c r="AO63" s="34">
        <f t="shared" si="37"/>
        <v>-1020459.7966236046</v>
      </c>
      <c r="AP63" s="34">
        <f t="shared" si="37"/>
        <v>-1035766.6935729586</v>
      </c>
      <c r="AQ63" s="34">
        <f t="shared" si="37"/>
        <v>-1051303.1939765529</v>
      </c>
      <c r="AR63" s="34">
        <f t="shared" si="37"/>
        <v>-1067072.7418862011</v>
      </c>
      <c r="AS63" s="34">
        <f t="shared" si="37"/>
        <v>-1083078.8330144943</v>
      </c>
      <c r="AT63" s="34">
        <f t="shared" si="37"/>
        <v>-1099325.0155097116</v>
      </c>
      <c r="AU63" s="34">
        <f t="shared" si="37"/>
        <v>-1115814.8907423574</v>
      </c>
      <c r="AV63" s="34">
        <f t="shared" si="37"/>
        <v>-1132552.1141034928</v>
      </c>
      <c r="AW63" s="34">
        <f t="shared" si="37"/>
        <v>-1149540.3958150449</v>
      </c>
      <c r="AX63" s="34">
        <f t="shared" si="37"/>
        <v>-1166783.5017522709</v>
      </c>
      <c r="AY63" s="34">
        <f t="shared" si="37"/>
        <v>-1184285.2542785548</v>
      </c>
      <c r="AZ63" s="34">
        <f t="shared" si="37"/>
        <v>-1202049.5330927332</v>
      </c>
      <c r="BA63" s="34">
        <f t="shared" si="37"/>
        <v>-1220080.2760891241</v>
      </c>
      <c r="BB63" s="34">
        <f t="shared" si="37"/>
        <v>-1238381.4802304611</v>
      </c>
      <c r="BC63" s="34">
        <f t="shared" si="37"/>
        <v>-1256957.2024339179</v>
      </c>
      <c r="BD63" s="34">
        <f t="shared" si="37"/>
        <v>-1275811.5604704267</v>
      </c>
      <c r="BE63" s="34">
        <f t="shared" si="37"/>
        <v>-1294948.7338774833</v>
      </c>
      <c r="BF63" s="34">
        <f t="shared" si="37"/>
        <v>-1314372.9648856453</v>
      </c>
      <c r="BG63" s="34">
        <f t="shared" si="37"/>
        <v>-1334088.55935893</v>
      </c>
      <c r="BH63" s="34">
        <f t="shared" si="37"/>
        <v>-1354099.8877493138</v>
      </c>
      <c r="BI63" s="34">
        <f t="shared" si="37"/>
        <v>-1374411.3860655539</v>
      </c>
      <c r="BJ63" s="34">
        <f t="shared" si="37"/>
        <v>-1395027.556856537</v>
      </c>
      <c r="BK63" s="34">
        <f t="shared" si="37"/>
        <v>-1415952.970209385</v>
      </c>
      <c r="BL63" s="34">
        <f t="shared" si="37"/>
        <v>-1437192.2647625257</v>
      </c>
      <c r="BM63" s="34">
        <f t="shared" si="37"/>
        <v>-1458750.1487339637</v>
      </c>
      <c r="BN63" s="34"/>
      <c r="BO63" s="34"/>
      <c r="BP63" s="34"/>
      <c r="BQ63" s="34"/>
      <c r="BR63" s="34"/>
      <c r="BS63" s="34"/>
    </row>
    <row r="64" spans="1:75">
      <c r="A64" s="41"/>
      <c r="B64" s="27"/>
      <c r="C64" s="27" t="s">
        <v>30</v>
      </c>
      <c r="D64" s="27">
        <f>SUM(E64:CA64)</f>
        <v>-19909766.241175525</v>
      </c>
      <c r="E64" s="27"/>
      <c r="F64" s="27"/>
      <c r="G64" s="27"/>
      <c r="H64" s="27"/>
      <c r="I64" s="27"/>
      <c r="J64" s="27"/>
      <c r="K64" s="27"/>
      <c r="L64" s="27"/>
      <c r="M64" s="27"/>
      <c r="N64" s="27"/>
      <c r="O64" s="27"/>
      <c r="P64" s="27"/>
      <c r="Q64" s="27"/>
      <c r="R64" s="27"/>
      <c r="S64" s="34">
        <f t="shared" ref="S64:BM64" si="38">IPMT($D$18, S61, $D$23,$E$65)</f>
        <v>-745198.64406267309</v>
      </c>
      <c r="T64" s="34">
        <f t="shared" si="38"/>
        <v>-734167.1527091387</v>
      </c>
      <c r="U64" s="34">
        <f t="shared" si="38"/>
        <v>-722970.18898530118</v>
      </c>
      <c r="V64" s="34">
        <f t="shared" si="38"/>
        <v>-711605.27080560615</v>
      </c>
      <c r="W64" s="34">
        <f t="shared" si="38"/>
        <v>-700069.87885321549</v>
      </c>
      <c r="X64" s="34">
        <f t="shared" si="38"/>
        <v>-688361.45602153917</v>
      </c>
      <c r="Y64" s="34">
        <f t="shared" si="38"/>
        <v>-676477.40684738755</v>
      </c>
      <c r="Z64" s="34">
        <f t="shared" si="38"/>
        <v>-664415.09693562379</v>
      </c>
      <c r="AA64" s="34">
        <f t="shared" si="38"/>
        <v>-652171.85237518372</v>
      </c>
      <c r="AB64" s="34">
        <f t="shared" si="38"/>
        <v>-639744.95914633677</v>
      </c>
      <c r="AC64" s="34">
        <f t="shared" si="38"/>
        <v>-627131.66251905728</v>
      </c>
      <c r="AD64" s="34">
        <f t="shared" si="38"/>
        <v>-614329.16644236853</v>
      </c>
      <c r="AE64" s="34">
        <f t="shared" si="38"/>
        <v>-601334.63292452949</v>
      </c>
      <c r="AF64" s="34">
        <f t="shared" si="38"/>
        <v>-588145.18140392285</v>
      </c>
      <c r="AG64" s="34">
        <f t="shared" si="38"/>
        <v>-574757.88811050705</v>
      </c>
      <c r="AH64" s="34">
        <f t="shared" si="38"/>
        <v>-561169.78541769006</v>
      </c>
      <c r="AI64" s="34">
        <f t="shared" si="38"/>
        <v>-547377.86118448083</v>
      </c>
      <c r="AJ64" s="34">
        <f t="shared" si="38"/>
        <v>-533379.0580877735</v>
      </c>
      <c r="AK64" s="34">
        <f t="shared" si="38"/>
        <v>-519170.27294461534</v>
      </c>
      <c r="AL64" s="34">
        <f t="shared" si="38"/>
        <v>-504748.35602431005</v>
      </c>
      <c r="AM64" s="34">
        <f t="shared" si="38"/>
        <v>-490110.11035020021</v>
      </c>
      <c r="AN64" s="34">
        <f t="shared" si="38"/>
        <v>-475252.29099097854</v>
      </c>
      <c r="AO64" s="34">
        <f t="shared" si="38"/>
        <v>-460171.60434136866</v>
      </c>
      <c r="AP64" s="34">
        <f t="shared" si="38"/>
        <v>-444864.70739201462</v>
      </c>
      <c r="AQ64" s="34">
        <f t="shared" si="38"/>
        <v>-429328.20698842016</v>
      </c>
      <c r="AR64" s="34">
        <f t="shared" si="38"/>
        <v>-413558.65907877189</v>
      </c>
      <c r="AS64" s="34">
        <f t="shared" si="38"/>
        <v>-397552.56795047881</v>
      </c>
      <c r="AT64" s="34">
        <f t="shared" si="38"/>
        <v>-381306.38545526145</v>
      </c>
      <c r="AU64" s="34">
        <f t="shared" si="38"/>
        <v>-364816.51022261579</v>
      </c>
      <c r="AV64" s="34">
        <f t="shared" si="38"/>
        <v>-348079.28686148045</v>
      </c>
      <c r="AW64" s="34">
        <f t="shared" si="38"/>
        <v>-331091.00514992804</v>
      </c>
      <c r="AX64" s="34">
        <f t="shared" si="38"/>
        <v>-313847.89921270241</v>
      </c>
      <c r="AY64" s="34">
        <f t="shared" si="38"/>
        <v>-296346.14668641833</v>
      </c>
      <c r="AZ64" s="34">
        <f t="shared" si="38"/>
        <v>-278581.86787224002</v>
      </c>
      <c r="BA64" s="34">
        <f t="shared" si="38"/>
        <v>-260551.12487584891</v>
      </c>
      <c r="BB64" s="34">
        <f t="shared" si="38"/>
        <v>-242249.92073451212</v>
      </c>
      <c r="BC64" s="34">
        <f t="shared" si="38"/>
        <v>-223674.19853105521</v>
      </c>
      <c r="BD64" s="34">
        <f t="shared" si="38"/>
        <v>-204819.84049454643</v>
      </c>
      <c r="BE64" s="34">
        <f t="shared" si="38"/>
        <v>-185682.66708749009</v>
      </c>
      <c r="BF64" s="34">
        <f t="shared" si="38"/>
        <v>-166258.4360793278</v>
      </c>
      <c r="BG64" s="34">
        <f t="shared" si="38"/>
        <v>-146542.84160604313</v>
      </c>
      <c r="BH64" s="34">
        <f t="shared" si="38"/>
        <v>-126531.51321565917</v>
      </c>
      <c r="BI64" s="34">
        <f t="shared" si="38"/>
        <v>-106220.01489941946</v>
      </c>
      <c r="BJ64" s="34">
        <f t="shared" si="38"/>
        <v>-85603.844108436169</v>
      </c>
      <c r="BK64" s="34">
        <f t="shared" si="38"/>
        <v>-64678.430755588124</v>
      </c>
      <c r="BL64" s="34">
        <f t="shared" si="38"/>
        <v>-43439.136202447342</v>
      </c>
      <c r="BM64" s="34">
        <f t="shared" si="38"/>
        <v>-21881.252231009454</v>
      </c>
      <c r="BN64" s="34"/>
      <c r="BO64" s="34"/>
      <c r="BP64" s="34"/>
      <c r="BQ64" s="34"/>
      <c r="BR64" s="34"/>
      <c r="BS64" s="34"/>
    </row>
    <row r="65" spans="1:71">
      <c r="A65" s="41"/>
      <c r="B65" s="33" t="s">
        <v>31</v>
      </c>
      <c r="C65" s="42"/>
      <c r="D65" s="27"/>
      <c r="E65" s="27">
        <f>D24-D24/3</f>
        <v>49679909.604178205</v>
      </c>
      <c r="F65" s="27"/>
      <c r="G65" s="27"/>
      <c r="H65" s="27"/>
      <c r="I65" s="27"/>
      <c r="J65" s="27"/>
      <c r="K65" s="27"/>
      <c r="L65" s="27"/>
      <c r="M65" s="27"/>
      <c r="N65" s="27"/>
      <c r="O65" s="27"/>
      <c r="P65" s="27"/>
      <c r="Q65" s="27"/>
      <c r="R65" s="27"/>
      <c r="S65" s="27">
        <f>E65+S63</f>
        <v>48944476.847275905</v>
      </c>
      <c r="T65" s="27">
        <f>S65+T63</f>
        <v>48198012.599020071</v>
      </c>
      <c r="U65" s="27">
        <f t="shared" ref="U65:BM65" si="39">T65+U63</f>
        <v>47440351.387040399</v>
      </c>
      <c r="V65" s="27">
        <f t="shared" si="39"/>
        <v>46671325.256881028</v>
      </c>
      <c r="W65" s="27">
        <f t="shared" si="39"/>
        <v>45890763.73476927</v>
      </c>
      <c r="X65" s="27">
        <f t="shared" si="39"/>
        <v>45098493.789825834</v>
      </c>
      <c r="Y65" s="27">
        <f t="shared" si="39"/>
        <v>44294339.795708247</v>
      </c>
      <c r="Z65" s="27">
        <f t="shared" si="39"/>
        <v>43478123.491678894</v>
      </c>
      <c r="AA65" s="27">
        <f t="shared" si="39"/>
        <v>42649663.943089105</v>
      </c>
      <c r="AB65" s="27">
        <f t="shared" si="39"/>
        <v>41808777.501270466</v>
      </c>
      <c r="AC65" s="27">
        <f t="shared" si="39"/>
        <v>40955277.76282455</v>
      </c>
      <c r="AD65" s="27">
        <f t="shared" si="39"/>
        <v>40088975.528301947</v>
      </c>
      <c r="AE65" s="27">
        <f t="shared" si="39"/>
        <v>39209678.760261506</v>
      </c>
      <c r="AF65" s="27">
        <f t="shared" si="39"/>
        <v>38317192.540700458</v>
      </c>
      <c r="AG65" s="27">
        <f t="shared" si="39"/>
        <v>37411319.027845994</v>
      </c>
      <c r="AH65" s="27">
        <f t="shared" si="39"/>
        <v>36491857.412298709</v>
      </c>
      <c r="AI65" s="27">
        <f t="shared" si="39"/>
        <v>35558603.872518219</v>
      </c>
      <c r="AJ65" s="27">
        <f t="shared" si="39"/>
        <v>34611351.529641017</v>
      </c>
      <c r="AK65" s="27">
        <f t="shared" si="39"/>
        <v>33649890.401620656</v>
      </c>
      <c r="AL65" s="27">
        <f t="shared" si="39"/>
        <v>32674007.356679995</v>
      </c>
      <c r="AM65" s="27">
        <f t="shared" si="39"/>
        <v>31683486.066065222</v>
      </c>
      <c r="AN65" s="27">
        <f t="shared" si="39"/>
        <v>30678106.956091229</v>
      </c>
      <c r="AO65" s="27">
        <f t="shared" si="39"/>
        <v>29657647.159467623</v>
      </c>
      <c r="AP65" s="27">
        <f t="shared" si="39"/>
        <v>28621880.465894666</v>
      </c>
      <c r="AQ65" s="27">
        <f t="shared" si="39"/>
        <v>27570577.271918114</v>
      </c>
      <c r="AR65" s="27">
        <f t="shared" si="39"/>
        <v>26503504.530031912</v>
      </c>
      <c r="AS65" s="27">
        <f t="shared" si="39"/>
        <v>25420425.697017416</v>
      </c>
      <c r="AT65" s="27">
        <f t="shared" si="39"/>
        <v>24321100.681507707</v>
      </c>
      <c r="AU65" s="27">
        <f t="shared" si="39"/>
        <v>23205285.790765349</v>
      </c>
      <c r="AV65" s="27">
        <f t="shared" si="39"/>
        <v>22072733.676661856</v>
      </c>
      <c r="AW65" s="27">
        <f t="shared" si="39"/>
        <v>20923193.280846812</v>
      </c>
      <c r="AX65" s="27">
        <f t="shared" si="39"/>
        <v>19756409.77909454</v>
      </c>
      <c r="AY65" s="27">
        <f t="shared" si="39"/>
        <v>18572124.524815984</v>
      </c>
      <c r="AZ65" s="27">
        <f t="shared" si="39"/>
        <v>17370074.991723251</v>
      </c>
      <c r="BA65" s="27">
        <f t="shared" si="39"/>
        <v>16149994.715634126</v>
      </c>
      <c r="BB65" s="27">
        <f t="shared" si="39"/>
        <v>14911613.235403664</v>
      </c>
      <c r="BC65" s="27">
        <f t="shared" si="39"/>
        <v>13654656.032969747</v>
      </c>
      <c r="BD65" s="27">
        <f t="shared" si="39"/>
        <v>12378844.47249932</v>
      </c>
      <c r="BE65" s="27">
        <f t="shared" si="39"/>
        <v>11083895.738621837</v>
      </c>
      <c r="BF65" s="27">
        <f t="shared" si="39"/>
        <v>9769522.7737361919</v>
      </c>
      <c r="BG65" s="27">
        <f t="shared" si="39"/>
        <v>8435434.2143772617</v>
      </c>
      <c r="BH65" s="27">
        <f t="shared" si="39"/>
        <v>7081334.3266279474</v>
      </c>
      <c r="BI65" s="27">
        <f t="shared" si="39"/>
        <v>5706922.9405623935</v>
      </c>
      <c r="BJ65" s="27">
        <f t="shared" si="39"/>
        <v>4311895.3837058563</v>
      </c>
      <c r="BK65" s="27">
        <f t="shared" si="39"/>
        <v>2895942.413496471</v>
      </c>
      <c r="BL65" s="27">
        <f t="shared" si="39"/>
        <v>1458750.1487339453</v>
      </c>
      <c r="BM65" s="27">
        <f t="shared" si="39"/>
        <v>-1.8393620848655701E-8</v>
      </c>
      <c r="BN65" s="27"/>
      <c r="BO65" s="27"/>
      <c r="BP65" s="27"/>
      <c r="BQ65" s="27"/>
      <c r="BR65" s="27"/>
      <c r="BS65" s="27"/>
    </row>
    <row r="66" spans="1:71" ht="21">
      <c r="A66" s="43"/>
      <c r="B66" s="26" t="s">
        <v>32</v>
      </c>
      <c r="C66" s="27"/>
      <c r="D66" s="27">
        <f>SUM(E66:CA66)</f>
        <v>-32685043.768274743</v>
      </c>
      <c r="E66" s="27"/>
      <c r="F66" s="27"/>
      <c r="G66" s="27"/>
      <c r="H66" s="27"/>
      <c r="I66" s="27"/>
      <c r="J66" s="27"/>
      <c r="K66" s="27"/>
      <c r="L66" s="27"/>
      <c r="M66" s="27"/>
      <c r="N66" s="27"/>
      <c r="O66" s="27"/>
      <c r="P66" s="27"/>
      <c r="Q66" s="27"/>
      <c r="R66" s="27"/>
      <c r="S66" s="27">
        <f>S62*S29</f>
        <v>-1024076.1663092631</v>
      </c>
      <c r="T66" s="27">
        <f>T62*T29</f>
        <v>-1005672.3620831417</v>
      </c>
      <c r="U66" s="27">
        <f t="shared" ref="U66:BM66" si="40">U62*U29</f>
        <v>-987599.29498491774</v>
      </c>
      <c r="V66" s="27">
        <f t="shared" si="40"/>
        <v>-969851.02129521547</v>
      </c>
      <c r="W66" s="27">
        <f t="shared" si="40"/>
        <v>-952421.70411000238</v>
      </c>
      <c r="X66" s="27">
        <f t="shared" si="40"/>
        <v>-935305.61142099823</v>
      </c>
      <c r="Y66" s="27">
        <f t="shared" si="40"/>
        <v>-918497.11423057853</v>
      </c>
      <c r="Z66" s="27">
        <f t="shared" si="40"/>
        <v>-901990.68470055831</v>
      </c>
      <c r="AA66" s="27">
        <f t="shared" si="40"/>
        <v>-885780.89433424175</v>
      </c>
      <c r="AB66" s="27">
        <f t="shared" si="40"/>
        <v>-869862.41219114373</v>
      </c>
      <c r="AC66" s="27">
        <f t="shared" si="40"/>
        <v>-854230.00313379546</v>
      </c>
      <c r="AD66" s="27">
        <f t="shared" si="40"/>
        <v>-838878.52610605466</v>
      </c>
      <c r="AE66" s="27">
        <f t="shared" si="40"/>
        <v>-823802.93244235963</v>
      </c>
      <c r="AF66" s="27">
        <f t="shared" si="40"/>
        <v>-808998.26420736476</v>
      </c>
      <c r="AG66" s="27">
        <f t="shared" si="40"/>
        <v>-794459.65256541781</v>
      </c>
      <c r="AH66" s="27">
        <f t="shared" si="40"/>
        <v>-780182.3161793357</v>
      </c>
      <c r="AI66" s="27">
        <f t="shared" si="40"/>
        <v>-766161.55963796121</v>
      </c>
      <c r="AJ66" s="27">
        <f t="shared" si="40"/>
        <v>-752392.77191197209</v>
      </c>
      <c r="AK66" s="27">
        <f t="shared" si="40"/>
        <v>-738871.42483744689</v>
      </c>
      <c r="AL66" s="27">
        <f t="shared" si="40"/>
        <v>-725593.07162667869</v>
      </c>
      <c r="AM66" s="27">
        <f t="shared" si="40"/>
        <v>-712553.34540575335</v>
      </c>
      <c r="AN66" s="27">
        <f t="shared" si="40"/>
        <v>-699747.95777840866</v>
      </c>
      <c r="AO66" s="27">
        <f t="shared" si="40"/>
        <v>-687172.69741570123</v>
      </c>
      <c r="AP66" s="27">
        <f t="shared" si="40"/>
        <v>-674823.42867102148</v>
      </c>
      <c r="AQ66" s="27">
        <f t="shared" si="40"/>
        <v>-662696.09021999559</v>
      </c>
      <c r="AR66" s="27">
        <f t="shared" si="40"/>
        <v>-650786.69372483122</v>
      </c>
      <c r="AS66" s="27">
        <f t="shared" si="40"/>
        <v>-639091.32252266665</v>
      </c>
      <c r="AT66" s="27">
        <f t="shared" si="40"/>
        <v>-627606.13033749058</v>
      </c>
      <c r="AU66" s="27">
        <f t="shared" si="40"/>
        <v>-616327.34001521219</v>
      </c>
      <c r="AV66" s="27">
        <f t="shared" si="40"/>
        <v>-605251.24228146137</v>
      </c>
      <c r="AW66" s="27">
        <f t="shared" si="40"/>
        <v>-594374.19452171412</v>
      </c>
      <c r="AX66" s="27">
        <f t="shared" si="40"/>
        <v>-583692.61958333896</v>
      </c>
      <c r="AY66" s="27">
        <f t="shared" si="40"/>
        <v>-573203.00459917402</v>
      </c>
      <c r="AZ66" s="27">
        <f t="shared" si="40"/>
        <v>-562901.89983224403</v>
      </c>
      <c r="BA66" s="27">
        <f t="shared" si="40"/>
        <v>-552785.91754123941</v>
      </c>
      <c r="BB66" s="27">
        <f t="shared" si="40"/>
        <v>-542851.73086638446</v>
      </c>
      <c r="BC66" s="27">
        <f t="shared" si="40"/>
        <v>-533096.07273532811</v>
      </c>
      <c r="BD66" s="27">
        <f t="shared" si="40"/>
        <v>-523515.73478869494</v>
      </c>
      <c r="BE66" s="27">
        <f t="shared" si="40"/>
        <v>-514107.56632494845</v>
      </c>
      <c r="BF66" s="27">
        <f t="shared" si="40"/>
        <v>-504868.4732642133</v>
      </c>
      <c r="BG66" s="27">
        <f t="shared" si="40"/>
        <v>-495795.41713072127</v>
      </c>
      <c r="BH66" s="27">
        <f t="shared" si="40"/>
        <v>-486885.41405354132</v>
      </c>
      <c r="BI66" s="27">
        <f t="shared" si="40"/>
        <v>-478135.53378527099</v>
      </c>
      <c r="BJ66" s="27">
        <f t="shared" si="40"/>
        <v>-469542.89873835898</v>
      </c>
      <c r="BK66" s="27">
        <f t="shared" si="40"/>
        <v>-461104.68303874991</v>
      </c>
      <c r="BL66" s="27">
        <f t="shared" si="40"/>
        <v>-452818.11159653333</v>
      </c>
      <c r="BM66" s="27">
        <f t="shared" si="40"/>
        <v>-444680.45919329603</v>
      </c>
      <c r="BN66" s="27"/>
      <c r="BO66" s="27"/>
      <c r="BP66" s="27"/>
      <c r="BQ66" s="27"/>
      <c r="BR66" s="27"/>
      <c r="BS66" s="27"/>
    </row>
    <row r="67" spans="1:71">
      <c r="A67" s="27"/>
      <c r="B67" s="27"/>
      <c r="C67" s="27" t="s">
        <v>29</v>
      </c>
      <c r="D67" s="27">
        <f>SUM(E67:CA67)</f>
        <v>-21546276.30444327</v>
      </c>
      <c r="E67" s="27"/>
      <c r="F67" s="27"/>
      <c r="G67" s="27"/>
      <c r="H67" s="27"/>
      <c r="I67" s="27"/>
      <c r="J67" s="27"/>
      <c r="K67" s="27"/>
      <c r="L67" s="27"/>
      <c r="M67" s="27"/>
      <c r="N67" s="27"/>
      <c r="O67" s="27"/>
      <c r="P67" s="27"/>
      <c r="Q67" s="27"/>
      <c r="R67" s="27"/>
      <c r="S67" s="27">
        <f>S63*S29</f>
        <v>-493488.0118827034</v>
      </c>
      <c r="T67" s="27">
        <f t="shared" ref="T67:BM67" si="41">T63*T29</f>
        <v>-491888.76761361491</v>
      </c>
      <c r="U67" s="27">
        <f t="shared" si="41"/>
        <v>-490294.70600787504</v>
      </c>
      <c r="V67" s="27">
        <f t="shared" si="41"/>
        <v>-488705.8102700513</v>
      </c>
      <c r="W67" s="27">
        <f t="shared" si="41"/>
        <v>-487122.06365913979</v>
      </c>
      <c r="X67" s="27">
        <f t="shared" si="41"/>
        <v>-485543.44948838936</v>
      </c>
      <c r="Y67" s="27">
        <f t="shared" si="41"/>
        <v>-483969.9511251254</v>
      </c>
      <c r="Z67" s="27">
        <f t="shared" si="41"/>
        <v>-482401.55199057487</v>
      </c>
      <c r="AA67" s="27">
        <f t="shared" si="41"/>
        <v>-480838.23555969109</v>
      </c>
      <c r="AB67" s="27">
        <f t="shared" si="41"/>
        <v>-479279.9853609805</v>
      </c>
      <c r="AC67" s="27">
        <f t="shared" si="41"/>
        <v>-477726.78497632843</v>
      </c>
      <c r="AD67" s="27">
        <f t="shared" si="41"/>
        <v>-476178.61804082629</v>
      </c>
      <c r="AE67" s="27">
        <f t="shared" si="41"/>
        <v>-474635.46824259916</v>
      </c>
      <c r="AF67" s="27">
        <f t="shared" si="41"/>
        <v>-473097.31932263391</v>
      </c>
      <c r="AG67" s="27">
        <f t="shared" si="41"/>
        <v>-471564.15507460822</v>
      </c>
      <c r="AH67" s="27">
        <f t="shared" si="41"/>
        <v>-470035.95934471884</v>
      </c>
      <c r="AI67" s="27">
        <f t="shared" si="41"/>
        <v>-468512.71603151306</v>
      </c>
      <c r="AJ67" s="27">
        <f t="shared" si="41"/>
        <v>-466994.40908571705</v>
      </c>
      <c r="AK67" s="27">
        <f t="shared" si="41"/>
        <v>-465481.02251006872</v>
      </c>
      <c r="AL67" s="27">
        <f t="shared" si="41"/>
        <v>-463972.5403591473</v>
      </c>
      <c r="AM67" s="27">
        <f t="shared" si="41"/>
        <v>-462468.94673920696</v>
      </c>
      <c r="AN67" s="27">
        <f t="shared" si="41"/>
        <v>-460970.22580800869</v>
      </c>
      <c r="AO67" s="27">
        <f t="shared" si="41"/>
        <v>-459476.36177465261</v>
      </c>
      <c r="AP67" s="27">
        <f t="shared" si="41"/>
        <v>-457987.33889941312</v>
      </c>
      <c r="AQ67" s="27">
        <f t="shared" si="41"/>
        <v>-456503.14149357192</v>
      </c>
      <c r="AR67" s="27">
        <f t="shared" si="41"/>
        <v>-455023.75391925313</v>
      </c>
      <c r="AS67" s="27">
        <f t="shared" si="41"/>
        <v>-453549.16058925871</v>
      </c>
      <c r="AT67" s="27">
        <f t="shared" si="41"/>
        <v>-452079.3459669032</v>
      </c>
      <c r="AU67" s="27">
        <f t="shared" si="41"/>
        <v>-450614.29456585168</v>
      </c>
      <c r="AV67" s="27">
        <f t="shared" si="41"/>
        <v>-449153.9909499553</v>
      </c>
      <c r="AW67" s="27">
        <f t="shared" si="41"/>
        <v>-447698.41973308905</v>
      </c>
      <c r="AX67" s="27">
        <f t="shared" si="41"/>
        <v>-446247.56557898998</v>
      </c>
      <c r="AY67" s="27">
        <f t="shared" si="41"/>
        <v>-444801.41320109472</v>
      </c>
      <c r="AZ67" s="27">
        <f t="shared" si="41"/>
        <v>-443359.94736237969</v>
      </c>
      <c r="BA67" s="27">
        <f t="shared" si="41"/>
        <v>-441923.15287519927</v>
      </c>
      <c r="BB67" s="27">
        <f t="shared" si="41"/>
        <v>-440491.0146011266</v>
      </c>
      <c r="BC67" s="27">
        <f t="shared" si="41"/>
        <v>-439063.517450794</v>
      </c>
      <c r="BD67" s="27">
        <f t="shared" si="41"/>
        <v>-437640.64638373355</v>
      </c>
      <c r="BE67" s="27">
        <f t="shared" si="41"/>
        <v>-436222.38640821923</v>
      </c>
      <c r="BF67" s="27">
        <f t="shared" si="41"/>
        <v>-434808.72258110816</v>
      </c>
      <c r="BG67" s="27">
        <f t="shared" si="41"/>
        <v>-433399.6400076843</v>
      </c>
      <c r="BH67" s="27">
        <f t="shared" si="41"/>
        <v>-431995.12384149997</v>
      </c>
      <c r="BI67" s="27">
        <f t="shared" si="41"/>
        <v>-430595.15928422142</v>
      </c>
      <c r="BJ67" s="27">
        <f t="shared" si="41"/>
        <v>-429199.73158547055</v>
      </c>
      <c r="BK67" s="27">
        <f t="shared" si="41"/>
        <v>-427808.82604267175</v>
      </c>
      <c r="BL67" s="27">
        <f t="shared" si="41"/>
        <v>-426422.42800089536</v>
      </c>
      <c r="BM67" s="27">
        <f t="shared" si="41"/>
        <v>-425040.52285270439</v>
      </c>
      <c r="BN67" s="27"/>
      <c r="BO67" s="27"/>
      <c r="BP67" s="27"/>
      <c r="BQ67" s="27"/>
      <c r="BR67" s="27"/>
      <c r="BS67" s="27"/>
    </row>
    <row r="68" spans="1:71">
      <c r="A68" s="27"/>
      <c r="B68" s="27"/>
      <c r="C68" s="27" t="s">
        <v>30</v>
      </c>
      <c r="D68" s="27">
        <f>SUM(E68:CA68)</f>
        <v>-10163808.594953125</v>
      </c>
      <c r="E68" s="27"/>
      <c r="F68" s="27"/>
      <c r="G68" s="27"/>
      <c r="H68" s="27"/>
      <c r="I68" s="27"/>
      <c r="J68" s="27"/>
      <c r="K68" s="27"/>
      <c r="L68" s="27"/>
      <c r="M68" s="27"/>
      <c r="N68" s="27"/>
      <c r="O68" s="27"/>
      <c r="P68" s="27"/>
      <c r="Q68" s="27"/>
      <c r="R68" s="27"/>
      <c r="S68" s="27">
        <f>S64*S29</f>
        <v>-500041.08990895678</v>
      </c>
      <c r="T68" s="27">
        <f t="shared" ref="T68:BM68" si="42">T64*T29</f>
        <v>-483785.49516912142</v>
      </c>
      <c r="U68" s="27">
        <f t="shared" si="42"/>
        <v>-467845.58936945617</v>
      </c>
      <c r="V68" s="27">
        <f t="shared" si="42"/>
        <v>-452215.62288062274</v>
      </c>
      <c r="W68" s="27">
        <f t="shared" si="42"/>
        <v>-436889.94964801322</v>
      </c>
      <c r="X68" s="27">
        <f t="shared" si="42"/>
        <v>-421863.02532959462</v>
      </c>
      <c r="Y68" s="27">
        <f t="shared" si="42"/>
        <v>-407129.4054672186</v>
      </c>
      <c r="Z68" s="27">
        <f t="shared" si="42"/>
        <v>-392683.7436908001</v>
      </c>
      <c r="AA68" s="27">
        <f t="shared" si="42"/>
        <v>-378520.78995476931</v>
      </c>
      <c r="AB68" s="27">
        <f t="shared" si="42"/>
        <v>-364635.38880622003</v>
      </c>
      <c r="AC68" s="27">
        <f t="shared" si="42"/>
        <v>-351022.47768418479</v>
      </c>
      <c r="AD68" s="27">
        <f t="shared" si="42"/>
        <v>-337677.0852494745</v>
      </c>
      <c r="AE68" s="27">
        <f t="shared" si="42"/>
        <v>-324594.32974453713</v>
      </c>
      <c r="AF68" s="27">
        <f t="shared" si="42"/>
        <v>-311769.41738279304</v>
      </c>
      <c r="AG68" s="27">
        <f t="shared" si="42"/>
        <v>-299197.64076691895</v>
      </c>
      <c r="AH68" s="27">
        <f t="shared" si="42"/>
        <v>-286874.37733555899</v>
      </c>
      <c r="AI68" s="27">
        <f t="shared" si="42"/>
        <v>-274795.08783795376</v>
      </c>
      <c r="AJ68" s="27">
        <f t="shared" si="42"/>
        <v>-262955.31483598257</v>
      </c>
      <c r="AK68" s="27">
        <f t="shared" si="42"/>
        <v>-251350.68123313048</v>
      </c>
      <c r="AL68" s="27">
        <f t="shared" si="42"/>
        <v>-239976.88882989247</v>
      </c>
      <c r="AM68" s="27">
        <f t="shared" si="42"/>
        <v>-228829.71690514119</v>
      </c>
      <c r="AN68" s="27">
        <f t="shared" si="42"/>
        <v>-217905.02082299234</v>
      </c>
      <c r="AO68" s="27">
        <f t="shared" si="42"/>
        <v>-207198.73066470804</v>
      </c>
      <c r="AP68" s="27">
        <f t="shared" si="42"/>
        <v>-196706.84988518932</v>
      </c>
      <c r="AQ68" s="27">
        <f t="shared" si="42"/>
        <v>-186425.45399361494</v>
      </c>
      <c r="AR68" s="27">
        <f t="shared" si="42"/>
        <v>-176350.68925779374</v>
      </c>
      <c r="AS68" s="27">
        <f t="shared" si="42"/>
        <v>-166478.77143180298</v>
      </c>
      <c r="AT68" s="27">
        <f t="shared" si="42"/>
        <v>-156805.98450649527</v>
      </c>
      <c r="AU68" s="27">
        <f t="shared" si="42"/>
        <v>-147328.67948246264</v>
      </c>
      <c r="AV68" s="27">
        <f t="shared" si="42"/>
        <v>-138043.27316505439</v>
      </c>
      <c r="AW68" s="27">
        <f t="shared" si="42"/>
        <v>-128946.24698105181</v>
      </c>
      <c r="AX68" s="27">
        <f t="shared" si="42"/>
        <v>-120034.14581661149</v>
      </c>
      <c r="AY68" s="27">
        <f t="shared" si="42"/>
        <v>-111303.57687609411</v>
      </c>
      <c r="AZ68" s="27">
        <f t="shared" si="42"/>
        <v>-102751.20856140401</v>
      </c>
      <c r="BA68" s="27">
        <f t="shared" si="42"/>
        <v>-94373.769371470378</v>
      </c>
      <c r="BB68" s="27">
        <f t="shared" si="42"/>
        <v>-86168.046821508789</v>
      </c>
      <c r="BC68" s="27">
        <f t="shared" si="42"/>
        <v>-78130.886381706674</v>
      </c>
      <c r="BD68" s="27">
        <f t="shared" si="42"/>
        <v>-70259.190434984543</v>
      </c>
      <c r="BE68" s="27">
        <f t="shared" si="42"/>
        <v>-62549.917253489701</v>
      </c>
      <c r="BF68" s="27">
        <f t="shared" si="42"/>
        <v>-55000.079993485611</v>
      </c>
      <c r="BG68" s="27">
        <f t="shared" si="42"/>
        <v>-47606.745708306989</v>
      </c>
      <c r="BH68" s="27">
        <f t="shared" si="42"/>
        <v>-40367.034379055003</v>
      </c>
      <c r="BI68" s="27">
        <f t="shared" si="42"/>
        <v>-33278.11796271483</v>
      </c>
      <c r="BJ68" s="27">
        <f t="shared" si="42"/>
        <v>-26337.21945738143</v>
      </c>
      <c r="BK68" s="27">
        <f t="shared" si="42"/>
        <v>-19541.611984286927</v>
      </c>
      <c r="BL68" s="27">
        <f t="shared" si="42"/>
        <v>-12888.617886327063</v>
      </c>
      <c r="BM68" s="27">
        <f t="shared" si="42"/>
        <v>-6375.607842790565</v>
      </c>
      <c r="BN68" s="27"/>
      <c r="BO68" s="27"/>
      <c r="BP68" s="27"/>
      <c r="BQ68" s="27"/>
      <c r="BR68" s="27"/>
      <c r="BS68" s="27"/>
    </row>
    <row r="69" spans="1:71">
      <c r="G69" s="45"/>
      <c r="J69" s="46"/>
    </row>
    <row r="70" spans="1:71">
      <c r="A70" s="24"/>
      <c r="C70" s="47"/>
      <c r="D70" s="47"/>
      <c r="E70" s="47"/>
      <c r="F70" s="47"/>
      <c r="G70" s="45"/>
    </row>
    <row r="71" spans="1:71">
      <c r="A71" s="24"/>
      <c r="C71" s="47"/>
      <c r="D71" s="47"/>
      <c r="E71" s="47"/>
      <c r="F71" s="47"/>
      <c r="G71" s="45"/>
      <c r="J71" s="48"/>
    </row>
    <row r="72" spans="1:71">
      <c r="A72" s="24"/>
      <c r="C72" s="47"/>
      <c r="D72" s="47"/>
      <c r="E72" s="47"/>
      <c r="F72" s="47"/>
      <c r="G72" s="45"/>
    </row>
    <row r="73" spans="1:71">
      <c r="A73" s="24"/>
      <c r="C73" s="47"/>
      <c r="D73" s="47"/>
      <c r="E73" s="47"/>
      <c r="F73" s="47"/>
      <c r="G73" s="45"/>
      <c r="J73" s="45"/>
    </row>
    <row r="74" spans="1:71">
      <c r="A74" s="24"/>
      <c r="C74" s="47"/>
      <c r="D74" s="47"/>
      <c r="E74" s="47"/>
      <c r="F74" s="47"/>
      <c r="G74" s="45"/>
    </row>
    <row r="75" spans="1:71">
      <c r="A75" s="24"/>
      <c r="C75" s="47"/>
      <c r="D75" s="47"/>
      <c r="E75" s="47"/>
      <c r="F75" s="47"/>
      <c r="G75" s="45"/>
    </row>
    <row r="76" spans="1:71">
      <c r="A76" s="24"/>
      <c r="C76" s="47"/>
      <c r="D76" s="47"/>
      <c r="E76" s="47"/>
      <c r="F76" s="47"/>
      <c r="G76" s="45"/>
    </row>
    <row r="77" spans="1:71">
      <c r="A77" s="24"/>
      <c r="C77" s="47"/>
      <c r="D77" s="47"/>
      <c r="E77" s="47"/>
      <c r="F77" s="47"/>
      <c r="G77" s="45"/>
    </row>
    <row r="78" spans="1:71">
      <c r="A78" s="24"/>
      <c r="C78" s="47"/>
      <c r="D78" s="47"/>
      <c r="E78" s="47"/>
      <c r="F78" s="47"/>
      <c r="G78" s="45"/>
    </row>
    <row r="79" spans="1:71">
      <c r="A79" s="24"/>
      <c r="C79" s="47"/>
      <c r="D79" s="47"/>
      <c r="E79" s="47"/>
      <c r="F79" s="47"/>
      <c r="G79" s="45"/>
    </row>
    <row r="80" spans="1:71">
      <c r="A80" s="24"/>
      <c r="C80" s="47"/>
      <c r="D80" s="47"/>
      <c r="E80" s="47"/>
      <c r="F80" s="47"/>
      <c r="G80" s="45"/>
    </row>
    <row r="81" spans="1:7">
      <c r="A81" s="24"/>
      <c r="C81" s="47"/>
      <c r="D81" s="47"/>
      <c r="E81" s="47"/>
      <c r="F81" s="47"/>
      <c r="G81" s="45"/>
    </row>
    <row r="82" spans="1:7">
      <c r="A82" s="24"/>
      <c r="C82" s="47"/>
      <c r="D82" s="47"/>
      <c r="E82" s="47"/>
      <c r="F82" s="47"/>
      <c r="G82" s="45"/>
    </row>
    <row r="83" spans="1:7">
      <c r="A83" s="24"/>
      <c r="C83" s="47"/>
      <c r="D83" s="47"/>
      <c r="E83" s="47"/>
      <c r="F83" s="47"/>
      <c r="G83" s="45"/>
    </row>
    <row r="84" spans="1:7">
      <c r="A84" s="24"/>
      <c r="C84" s="47"/>
      <c r="D84" s="47"/>
      <c r="E84" s="47"/>
      <c r="F84" s="47"/>
      <c r="G84" s="45"/>
    </row>
    <row r="85" spans="1:7">
      <c r="A85" s="24"/>
      <c r="C85" s="47"/>
      <c r="D85" s="47"/>
      <c r="E85" s="47"/>
      <c r="F85" s="47"/>
      <c r="G85" s="45"/>
    </row>
    <row r="86" spans="1:7">
      <c r="A86" s="24"/>
      <c r="C86" s="47"/>
      <c r="D86" s="47"/>
      <c r="E86" s="47"/>
      <c r="F86" s="47"/>
      <c r="G86" s="45"/>
    </row>
    <row r="87" spans="1:7">
      <c r="A87" s="24"/>
      <c r="C87" s="47"/>
      <c r="D87" s="47"/>
      <c r="E87" s="47"/>
      <c r="F87" s="47"/>
      <c r="G87" s="45"/>
    </row>
    <row r="88" spans="1:7">
      <c r="A88" s="24"/>
      <c r="C88" s="47"/>
      <c r="D88" s="47"/>
      <c r="E88" s="47"/>
      <c r="F88" s="47"/>
      <c r="G88" s="45"/>
    </row>
    <row r="89" spans="1:7">
      <c r="A89" s="24"/>
      <c r="C89" s="47"/>
      <c r="D89" s="47"/>
      <c r="E89" s="47"/>
      <c r="F89" s="47"/>
      <c r="G89" s="45"/>
    </row>
    <row r="90" spans="1:7">
      <c r="A90" s="24"/>
      <c r="C90" s="47"/>
      <c r="D90" s="47"/>
      <c r="E90" s="47"/>
      <c r="F90" s="47"/>
      <c r="G90" s="45"/>
    </row>
    <row r="91" spans="1:7">
      <c r="A91" s="24"/>
      <c r="C91" s="47"/>
      <c r="D91" s="47"/>
      <c r="E91" s="47"/>
      <c r="F91" s="47"/>
      <c r="G91" s="45"/>
    </row>
  </sheetData>
  <mergeCells count="5">
    <mergeCell ref="A6:D6"/>
    <mergeCell ref="F6:G6"/>
    <mergeCell ref="F11:G11"/>
    <mergeCell ref="A16:D16"/>
    <mergeCell ref="F17:G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7AB56A6AF2E54382FB6D08C996E924" ma:contentTypeVersion="15" ma:contentTypeDescription="Create a new document." ma:contentTypeScope="" ma:versionID="42f4d0b5b143c66b73ed844557683af6">
  <xsd:schema xmlns:xsd="http://www.w3.org/2001/XMLSchema" xmlns:xs="http://www.w3.org/2001/XMLSchema" xmlns:p="http://schemas.microsoft.com/office/2006/metadata/properties" xmlns:ns1="http://schemas.microsoft.com/sharepoint/v3" xmlns:ns3="a8d8cd7b-748f-41a6-9f3c-3816789918a9" xmlns:ns4="8c580294-2520-47ca-a29a-c43bdc3c932a" targetNamespace="http://schemas.microsoft.com/office/2006/metadata/properties" ma:root="true" ma:fieldsID="0b25ffc8252ee9fd8468b227e54f540f" ns1:_="" ns3:_="" ns4:_="">
    <xsd:import namespace="http://schemas.microsoft.com/sharepoint/v3"/>
    <xsd:import namespace="a8d8cd7b-748f-41a6-9f3c-3816789918a9"/>
    <xsd:import namespace="8c580294-2520-47ca-a29a-c43bdc3c932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EventHashCode" minOccurs="0"/>
                <xsd:element ref="ns3:MediaServiceGenerationTim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d8cd7b-748f-41a6-9f3c-3816789918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80294-2520-47ca-a29a-c43bdc3c93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28D388-3195-484A-8280-5EC78A8C0969}">
  <ds:schemaRefs>
    <ds:schemaRef ds:uri="http://schemas.microsoft.com/sharepoint/v3"/>
    <ds:schemaRef ds:uri="http://purl.org/dc/dcmitype/"/>
    <ds:schemaRef ds:uri="a8d8cd7b-748f-41a6-9f3c-3816789918a9"/>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8c580294-2520-47ca-a29a-c43bdc3c932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F249C9ED-A14D-47AD-BC4E-6B30EA46DF16}">
  <ds:schemaRefs>
    <ds:schemaRef ds:uri="http://schemas.microsoft.com/sharepoint/v3/contenttype/forms"/>
  </ds:schemaRefs>
</ds:datastoreItem>
</file>

<file path=customXml/itemProps3.xml><?xml version="1.0" encoding="utf-8"?>
<ds:datastoreItem xmlns:ds="http://schemas.openxmlformats.org/officeDocument/2006/customXml" ds:itemID="{A35D7270-E20A-48F7-9799-A5BF82C8A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d8cd7b-748f-41a6-9f3c-3816789918a9"/>
    <ds:schemaRef ds:uri="8c580294-2520-47ca-a29a-c43bdc3c9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READ ME</vt:lpstr>
      <vt:lpstr> Results (Original Currency)</vt:lpstr>
      <vt:lpstr>Results (USD)</vt:lpstr>
      <vt:lpstr>ROC - Outstanding Balances</vt:lpstr>
      <vt:lpstr>Data</vt:lpstr>
      <vt:lpstr>ROC Loan #1</vt:lpstr>
      <vt:lpstr>ROC Loan #2</vt:lpstr>
      <vt:lpstr>ROC Loan #3</vt:lpstr>
      <vt:lpstr>ROC Loan #4</vt:lpstr>
      <vt:lpstr>ROC Loan #5</vt:lpstr>
      <vt:lpstr>ROC Loan #6</vt:lpstr>
      <vt:lpstr>ROC Loan #7</vt:lpstr>
      <vt:lpstr>ROC Loan #8</vt:lpstr>
      <vt:lpstr>ROC CMEC 2018 Loan</vt:lpstr>
      <vt:lpstr>Seychelles Loan #1</vt:lpstr>
      <vt:lpstr>Seychelles Loan #2</vt:lpstr>
      <vt:lpstr>Seychelles Loan #3</vt:lpstr>
      <vt:lpstr>Seychelles Loan UAE</vt:lpstr>
      <vt:lpstr>Seychelles Loan FRA</vt:lpstr>
      <vt:lpstr>Seychelles Loan DEU</vt:lpstr>
      <vt:lpstr>Seychelles Loan JPN</vt:lpstr>
      <vt:lpstr>Seychelles Loan KWT</vt:lpstr>
      <vt:lpstr>Seychelles Loan GBR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Alysha Gardner</dc:creator>
  <cp:lastModifiedBy>Jeremy Gaines (jgaines@CGDEV.ORG)</cp:lastModifiedBy>
  <dcterms:created xsi:type="dcterms:W3CDTF">2020-06-22T20:18:21Z</dcterms:created>
  <dcterms:modified xsi:type="dcterms:W3CDTF">2020-11-17T22:21:53Z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0x010100077AB56A6AF2E54382FB6D08C996E924</vt:lpwstr>
  </property>
</Properties>
</file>